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drawings/drawing22.xml" ContentType="application/vnd.openxmlformats-officedocument.drawing+xml"/>
  <Override PartName="/xl/charts/chart4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810"/>
  <workbookPr showInkAnnotation="0" autoCompressPictures="0"/>
  <bookViews>
    <workbookView xWindow="560" yWindow="0" windowWidth="24480" windowHeight="10040" tabRatio="791"/>
  </bookViews>
  <sheets>
    <sheet name="INPUTS" sheetId="20" r:id="rId1"/>
    <sheet name="User Input Location" sheetId="21" r:id="rId2"/>
    <sheet name="Logansport, IN" sheetId="3" r:id="rId3"/>
    <sheet name="Gibson City, IL" sheetId="2" r:id="rId4"/>
    <sheet name="Cambria, WI" sheetId="1" r:id="rId5"/>
    <sheet name="Marshall, MN" sheetId="4" r:id="rId6"/>
    <sheet name="Watertown, SD" sheetId="5" r:id="rId7"/>
    <sheet name="Richardton, ND" sheetId="6" r:id="rId8"/>
    <sheet name="Arthur, IA" sheetId="7" r:id="rId9"/>
    <sheet name="St. Joseph, MO" sheetId="8" r:id="rId10"/>
    <sheet name="Sutherland, NE" sheetId="9" r:id="rId11"/>
    <sheet name="Torrington, WY" sheetId="10" r:id="rId12"/>
    <sheet name="Burley, ID" sheetId="11" r:id="rId13"/>
    <sheet name="Yuma, CO" sheetId="12" r:id="rId14"/>
    <sheet name="Russell, KS" sheetId="13" r:id="rId15"/>
    <sheet name="Arkalon, KS" sheetId="14" r:id="rId16"/>
    <sheet name="Plainview, TX" sheetId="15" r:id="rId17"/>
    <sheet name="Imperial Valley, CA" sheetId="16" r:id="rId18"/>
    <sheet name="Stockton, CA" sheetId="17" r:id="rId19"/>
    <sheet name="Maricopa, AZ" sheetId="18" r:id="rId20"/>
    <sheet name="Solar Cumulative Cost Savings" sheetId="22" r:id="rId21"/>
    <sheet name="Wind Cumulative Cost Savings" sheetId="23" r:id="rId2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1" i="20" l="1"/>
  <c r="F130" i="20"/>
  <c r="G130" i="20"/>
  <c r="H130" i="20"/>
  <c r="I130" i="20"/>
  <c r="J130" i="20"/>
  <c r="K130" i="20"/>
  <c r="L130" i="20"/>
  <c r="M130" i="20"/>
  <c r="N130" i="20"/>
  <c r="O130" i="20"/>
  <c r="P130" i="20"/>
  <c r="Q130" i="20"/>
  <c r="R130" i="20"/>
  <c r="S130" i="20"/>
  <c r="T130" i="20"/>
  <c r="U130" i="20"/>
  <c r="V130" i="20"/>
  <c r="W130" i="20"/>
  <c r="X130" i="20"/>
  <c r="Y130" i="20"/>
  <c r="Z130" i="20"/>
  <c r="AA130" i="20"/>
  <c r="AB130" i="20"/>
  <c r="AC130" i="20"/>
  <c r="AD130" i="20"/>
  <c r="AE130" i="20"/>
  <c r="AF130" i="20"/>
  <c r="AG130" i="20"/>
  <c r="AH130" i="20"/>
  <c r="F106" i="20"/>
  <c r="G106" i="20"/>
  <c r="H106" i="20"/>
  <c r="I106" i="20"/>
  <c r="J106" i="20"/>
  <c r="K106" i="20"/>
  <c r="L106" i="20"/>
  <c r="M106" i="20"/>
  <c r="N106" i="20"/>
  <c r="O106" i="20"/>
  <c r="P106" i="20"/>
  <c r="Q106" i="20"/>
  <c r="R106" i="20"/>
  <c r="S106" i="20"/>
  <c r="T106" i="20"/>
  <c r="U106" i="20"/>
  <c r="V106" i="20"/>
  <c r="W106" i="20"/>
  <c r="X106" i="20"/>
  <c r="Y106" i="20"/>
  <c r="Z106" i="20"/>
  <c r="AA106" i="20"/>
  <c r="AB106" i="20"/>
  <c r="AC106" i="20"/>
  <c r="AD106" i="20"/>
  <c r="AE106" i="20"/>
  <c r="AF106" i="20"/>
  <c r="AG106" i="20"/>
  <c r="AH106" i="20"/>
  <c r="D130" i="20"/>
  <c r="E130" i="20"/>
  <c r="D106" i="20"/>
  <c r="E106" i="20"/>
  <c r="G82" i="20"/>
  <c r="D148" i="20"/>
  <c r="F61" i="20"/>
  <c r="D50" i="20"/>
  <c r="D52" i="20"/>
  <c r="O61" i="20"/>
  <c r="C19" i="3"/>
  <c r="C20" i="3"/>
  <c r="D19" i="3"/>
  <c r="D20" i="3"/>
  <c r="E19" i="3"/>
  <c r="E20" i="3"/>
  <c r="F19" i="3"/>
  <c r="F20" i="3"/>
  <c r="G19" i="3"/>
  <c r="G20" i="3"/>
  <c r="H19" i="3"/>
  <c r="H20" i="3"/>
  <c r="I19" i="3"/>
  <c r="I20" i="3"/>
  <c r="J19" i="3"/>
  <c r="J20" i="3"/>
  <c r="K19" i="3"/>
  <c r="K20" i="3"/>
  <c r="L19" i="3"/>
  <c r="L20" i="3"/>
  <c r="M19" i="3"/>
  <c r="M20" i="3"/>
  <c r="N19" i="3"/>
  <c r="N20" i="3"/>
  <c r="O20" i="3"/>
  <c r="F62" i="20"/>
  <c r="O62" i="20"/>
  <c r="C19" i="2"/>
  <c r="C20" i="2"/>
  <c r="D19" i="2"/>
  <c r="D20" i="2"/>
  <c r="E19" i="2"/>
  <c r="E20" i="2"/>
  <c r="F19" i="2"/>
  <c r="F20" i="2"/>
  <c r="G19" i="2"/>
  <c r="G20" i="2"/>
  <c r="H19" i="2"/>
  <c r="H20" i="2"/>
  <c r="I19" i="2"/>
  <c r="I20" i="2"/>
  <c r="J19" i="2"/>
  <c r="J20" i="2"/>
  <c r="K19" i="2"/>
  <c r="K20" i="2"/>
  <c r="L19" i="2"/>
  <c r="L20" i="2"/>
  <c r="M19" i="2"/>
  <c r="M20" i="2"/>
  <c r="N19" i="2"/>
  <c r="N20" i="2"/>
  <c r="O20" i="2"/>
  <c r="F63" i="20"/>
  <c r="O63" i="20"/>
  <c r="C19" i="1"/>
  <c r="C20" i="1"/>
  <c r="D19" i="1"/>
  <c r="D20" i="1"/>
  <c r="E19" i="1"/>
  <c r="E20" i="1"/>
  <c r="F19" i="1"/>
  <c r="F20" i="1"/>
  <c r="G19" i="1"/>
  <c r="G20" i="1"/>
  <c r="H19" i="1"/>
  <c r="H20" i="1"/>
  <c r="I19" i="1"/>
  <c r="I20" i="1"/>
  <c r="J19" i="1"/>
  <c r="J20" i="1"/>
  <c r="K19" i="1"/>
  <c r="K20" i="1"/>
  <c r="L19" i="1"/>
  <c r="L20" i="1"/>
  <c r="M19" i="1"/>
  <c r="M20" i="1"/>
  <c r="N19" i="1"/>
  <c r="N20" i="1"/>
  <c r="O20" i="1"/>
  <c r="F64" i="20"/>
  <c r="O64" i="20"/>
  <c r="C19" i="4"/>
  <c r="C20" i="4"/>
  <c r="D19" i="4"/>
  <c r="D20" i="4"/>
  <c r="E19" i="4"/>
  <c r="E20" i="4"/>
  <c r="F19" i="4"/>
  <c r="F20" i="4"/>
  <c r="G19" i="4"/>
  <c r="G20" i="4"/>
  <c r="H19" i="4"/>
  <c r="H20" i="4"/>
  <c r="I19" i="4"/>
  <c r="I20" i="4"/>
  <c r="J19" i="4"/>
  <c r="J20" i="4"/>
  <c r="K19" i="4"/>
  <c r="K20" i="4"/>
  <c r="L19" i="4"/>
  <c r="L20" i="4"/>
  <c r="M19" i="4"/>
  <c r="M20" i="4"/>
  <c r="N19" i="4"/>
  <c r="N20" i="4"/>
  <c r="O20" i="4"/>
  <c r="F65" i="20"/>
  <c r="O65" i="20"/>
  <c r="C19" i="5"/>
  <c r="C20" i="5"/>
  <c r="D19" i="5"/>
  <c r="D20" i="5"/>
  <c r="E19" i="5"/>
  <c r="E20" i="5"/>
  <c r="F19" i="5"/>
  <c r="F20" i="5"/>
  <c r="G19" i="5"/>
  <c r="G20" i="5"/>
  <c r="H19" i="5"/>
  <c r="H20" i="5"/>
  <c r="I19" i="5"/>
  <c r="I20" i="5"/>
  <c r="J19" i="5"/>
  <c r="J20" i="5"/>
  <c r="K19" i="5"/>
  <c r="K20" i="5"/>
  <c r="L19" i="5"/>
  <c r="L20" i="5"/>
  <c r="M19" i="5"/>
  <c r="M20" i="5"/>
  <c r="N19" i="5"/>
  <c r="N20" i="5"/>
  <c r="O20" i="5"/>
  <c r="F66" i="20"/>
  <c r="O66" i="20"/>
  <c r="C19" i="6"/>
  <c r="C20" i="6"/>
  <c r="D19" i="6"/>
  <c r="D20" i="6"/>
  <c r="E19" i="6"/>
  <c r="E20" i="6"/>
  <c r="F19" i="6"/>
  <c r="F20" i="6"/>
  <c r="G19" i="6"/>
  <c r="G20" i="6"/>
  <c r="H19" i="6"/>
  <c r="H20" i="6"/>
  <c r="I19" i="6"/>
  <c r="I20" i="6"/>
  <c r="J19" i="6"/>
  <c r="J20" i="6"/>
  <c r="K19" i="6"/>
  <c r="K20" i="6"/>
  <c r="L19" i="6"/>
  <c r="L20" i="6"/>
  <c r="M19" i="6"/>
  <c r="M20" i="6"/>
  <c r="N19" i="6"/>
  <c r="N20" i="6"/>
  <c r="O20" i="6"/>
  <c r="F67" i="20"/>
  <c r="O67" i="20"/>
  <c r="C19" i="7"/>
  <c r="C20" i="7"/>
  <c r="D19" i="7"/>
  <c r="D20" i="7"/>
  <c r="E19" i="7"/>
  <c r="E20" i="7"/>
  <c r="F19" i="7"/>
  <c r="F20" i="7"/>
  <c r="G19" i="7"/>
  <c r="G20" i="7"/>
  <c r="H19" i="7"/>
  <c r="H20" i="7"/>
  <c r="I19" i="7"/>
  <c r="I20" i="7"/>
  <c r="J19" i="7"/>
  <c r="J20" i="7"/>
  <c r="K19" i="7"/>
  <c r="K20" i="7"/>
  <c r="L19" i="7"/>
  <c r="L20" i="7"/>
  <c r="M19" i="7"/>
  <c r="M20" i="7"/>
  <c r="N19" i="7"/>
  <c r="N20" i="7"/>
  <c r="O20" i="7"/>
  <c r="F68" i="20"/>
  <c r="O68" i="20"/>
  <c r="C19" i="8"/>
  <c r="C20" i="8"/>
  <c r="D19" i="8"/>
  <c r="D20" i="8"/>
  <c r="E19" i="8"/>
  <c r="E20" i="8"/>
  <c r="F19" i="8"/>
  <c r="F20" i="8"/>
  <c r="G19" i="8"/>
  <c r="G20" i="8"/>
  <c r="H19" i="8"/>
  <c r="H20" i="8"/>
  <c r="I19" i="8"/>
  <c r="I20" i="8"/>
  <c r="J19" i="8"/>
  <c r="J20" i="8"/>
  <c r="K19" i="8"/>
  <c r="K20" i="8"/>
  <c r="L19" i="8"/>
  <c r="L20" i="8"/>
  <c r="M19" i="8"/>
  <c r="M20" i="8"/>
  <c r="N19" i="8"/>
  <c r="N20" i="8"/>
  <c r="O20" i="8"/>
  <c r="F69" i="20"/>
  <c r="O69" i="20"/>
  <c r="C19" i="9"/>
  <c r="C20" i="9"/>
  <c r="D19" i="9"/>
  <c r="D20" i="9"/>
  <c r="E19" i="9"/>
  <c r="E20" i="9"/>
  <c r="F19" i="9"/>
  <c r="F20" i="9"/>
  <c r="G19" i="9"/>
  <c r="G20" i="9"/>
  <c r="H19" i="9"/>
  <c r="H20" i="9"/>
  <c r="I19" i="9"/>
  <c r="I20" i="9"/>
  <c r="J19" i="9"/>
  <c r="J20" i="9"/>
  <c r="K19" i="9"/>
  <c r="K20" i="9"/>
  <c r="L19" i="9"/>
  <c r="L20" i="9"/>
  <c r="M19" i="9"/>
  <c r="M20" i="9"/>
  <c r="N19" i="9"/>
  <c r="N20" i="9"/>
  <c r="O20" i="9"/>
  <c r="F70" i="20"/>
  <c r="O70" i="20"/>
  <c r="C19" i="10"/>
  <c r="C20" i="10"/>
  <c r="D19" i="10"/>
  <c r="D20" i="10"/>
  <c r="E19" i="10"/>
  <c r="E20" i="10"/>
  <c r="F19" i="10"/>
  <c r="F20" i="10"/>
  <c r="G19" i="10"/>
  <c r="G20" i="10"/>
  <c r="H19" i="10"/>
  <c r="H20" i="10"/>
  <c r="I19" i="10"/>
  <c r="I20" i="10"/>
  <c r="J19" i="10"/>
  <c r="J20" i="10"/>
  <c r="K19" i="10"/>
  <c r="K20" i="10"/>
  <c r="L19" i="10"/>
  <c r="L20" i="10"/>
  <c r="M19" i="10"/>
  <c r="M20" i="10"/>
  <c r="N19" i="10"/>
  <c r="N20" i="10"/>
  <c r="O20" i="10"/>
  <c r="F71" i="20"/>
  <c r="O71" i="20"/>
  <c r="C19" i="11"/>
  <c r="C20" i="11"/>
  <c r="D19" i="11"/>
  <c r="D20" i="11"/>
  <c r="E19" i="11"/>
  <c r="E20" i="11"/>
  <c r="F19" i="11"/>
  <c r="F20" i="11"/>
  <c r="G19" i="11"/>
  <c r="G20" i="11"/>
  <c r="H19" i="11"/>
  <c r="H20" i="11"/>
  <c r="I19" i="11"/>
  <c r="I20" i="11"/>
  <c r="J19" i="11"/>
  <c r="J20" i="11"/>
  <c r="K19" i="11"/>
  <c r="K20" i="11"/>
  <c r="L19" i="11"/>
  <c r="L20" i="11"/>
  <c r="M19" i="11"/>
  <c r="M20" i="11"/>
  <c r="N19" i="11"/>
  <c r="N20" i="11"/>
  <c r="O20" i="11"/>
  <c r="F72" i="20"/>
  <c r="O72" i="20"/>
  <c r="C19" i="12"/>
  <c r="C20" i="12"/>
  <c r="D19" i="12"/>
  <c r="D20" i="12"/>
  <c r="E19" i="12"/>
  <c r="E20" i="12"/>
  <c r="F19" i="12"/>
  <c r="F20" i="12"/>
  <c r="G19" i="12"/>
  <c r="G20" i="12"/>
  <c r="H19" i="12"/>
  <c r="H20" i="12"/>
  <c r="I19" i="12"/>
  <c r="I20" i="12"/>
  <c r="J19" i="12"/>
  <c r="J20" i="12"/>
  <c r="K19" i="12"/>
  <c r="K20" i="12"/>
  <c r="L19" i="12"/>
  <c r="L20" i="12"/>
  <c r="M19" i="12"/>
  <c r="M20" i="12"/>
  <c r="N19" i="12"/>
  <c r="N20" i="12"/>
  <c r="O20" i="12"/>
  <c r="F73" i="20"/>
  <c r="O73" i="20"/>
  <c r="C19" i="13"/>
  <c r="C20" i="13"/>
  <c r="D19" i="13"/>
  <c r="D20" i="13"/>
  <c r="E19" i="13"/>
  <c r="E20" i="13"/>
  <c r="F19" i="13"/>
  <c r="F20" i="13"/>
  <c r="G19" i="13"/>
  <c r="G20" i="13"/>
  <c r="H19" i="13"/>
  <c r="H20" i="13"/>
  <c r="I19" i="13"/>
  <c r="I20" i="13"/>
  <c r="J19" i="13"/>
  <c r="J20" i="13"/>
  <c r="K19" i="13"/>
  <c r="K20" i="13"/>
  <c r="L19" i="13"/>
  <c r="L20" i="13"/>
  <c r="M19" i="13"/>
  <c r="M20" i="13"/>
  <c r="N19" i="13"/>
  <c r="N20" i="13"/>
  <c r="O20" i="13"/>
  <c r="F74" i="20"/>
  <c r="O74" i="20"/>
  <c r="C19" i="14"/>
  <c r="C20" i="14"/>
  <c r="D19" i="14"/>
  <c r="D20" i="14"/>
  <c r="E19" i="14"/>
  <c r="E20" i="14"/>
  <c r="F19" i="14"/>
  <c r="F20" i="14"/>
  <c r="G19" i="14"/>
  <c r="G20" i="14"/>
  <c r="H19" i="14"/>
  <c r="H20" i="14"/>
  <c r="I19" i="14"/>
  <c r="I20" i="14"/>
  <c r="J19" i="14"/>
  <c r="J20" i="14"/>
  <c r="K19" i="14"/>
  <c r="K20" i="14"/>
  <c r="L19" i="14"/>
  <c r="L20" i="14"/>
  <c r="M19" i="14"/>
  <c r="M20" i="14"/>
  <c r="N19" i="14"/>
  <c r="N20" i="14"/>
  <c r="O20" i="14"/>
  <c r="F75" i="20"/>
  <c r="O75" i="20"/>
  <c r="C19" i="15"/>
  <c r="C20" i="15"/>
  <c r="D19" i="15"/>
  <c r="D20" i="15"/>
  <c r="E19" i="15"/>
  <c r="E20" i="15"/>
  <c r="F19" i="15"/>
  <c r="F20" i="15"/>
  <c r="G19" i="15"/>
  <c r="G20" i="15"/>
  <c r="H19" i="15"/>
  <c r="H20" i="15"/>
  <c r="I19" i="15"/>
  <c r="I20" i="15"/>
  <c r="J19" i="15"/>
  <c r="J20" i="15"/>
  <c r="K19" i="15"/>
  <c r="K20" i="15"/>
  <c r="L19" i="15"/>
  <c r="L20" i="15"/>
  <c r="M19" i="15"/>
  <c r="M20" i="15"/>
  <c r="N19" i="15"/>
  <c r="N20" i="15"/>
  <c r="O20" i="15"/>
  <c r="F76" i="20"/>
  <c r="O76" i="20"/>
  <c r="C19" i="16"/>
  <c r="C20" i="16"/>
  <c r="D19" i="16"/>
  <c r="D20" i="16"/>
  <c r="E19" i="16"/>
  <c r="E20" i="16"/>
  <c r="F19" i="16"/>
  <c r="F20" i="16"/>
  <c r="G19" i="16"/>
  <c r="G20" i="16"/>
  <c r="H19" i="16"/>
  <c r="H20" i="16"/>
  <c r="I19" i="16"/>
  <c r="I20" i="16"/>
  <c r="J19" i="16"/>
  <c r="J20" i="16"/>
  <c r="K19" i="16"/>
  <c r="K20" i="16"/>
  <c r="L19" i="16"/>
  <c r="L20" i="16"/>
  <c r="M19" i="16"/>
  <c r="M20" i="16"/>
  <c r="N19" i="16"/>
  <c r="N20" i="16"/>
  <c r="O20" i="16"/>
  <c r="F77" i="20"/>
  <c r="O77" i="20"/>
  <c r="C19" i="17"/>
  <c r="C20" i="17"/>
  <c r="D19" i="17"/>
  <c r="D20" i="17"/>
  <c r="E19" i="17"/>
  <c r="E20" i="17"/>
  <c r="F19" i="17"/>
  <c r="F20" i="17"/>
  <c r="G19" i="17"/>
  <c r="G20" i="17"/>
  <c r="H19" i="17"/>
  <c r="H20" i="17"/>
  <c r="I19" i="17"/>
  <c r="I20" i="17"/>
  <c r="J19" i="17"/>
  <c r="J20" i="17"/>
  <c r="K19" i="17"/>
  <c r="K20" i="17"/>
  <c r="L19" i="17"/>
  <c r="L20" i="17"/>
  <c r="M19" i="17"/>
  <c r="M20" i="17"/>
  <c r="N19" i="17"/>
  <c r="N20" i="17"/>
  <c r="O20" i="17"/>
  <c r="F78" i="20"/>
  <c r="O78" i="20"/>
  <c r="C19" i="18"/>
  <c r="C20" i="18"/>
  <c r="D19" i="18"/>
  <c r="D20" i="18"/>
  <c r="E19" i="18"/>
  <c r="E20" i="18"/>
  <c r="F19" i="18"/>
  <c r="F20" i="18"/>
  <c r="G19" i="18"/>
  <c r="G20" i="18"/>
  <c r="H19" i="18"/>
  <c r="H20" i="18"/>
  <c r="I19" i="18"/>
  <c r="I20" i="18"/>
  <c r="J19" i="18"/>
  <c r="J20" i="18"/>
  <c r="K19" i="18"/>
  <c r="K20" i="18"/>
  <c r="L19" i="18"/>
  <c r="L20" i="18"/>
  <c r="M19" i="18"/>
  <c r="M20" i="18"/>
  <c r="N19" i="18"/>
  <c r="N20" i="18"/>
  <c r="O20" i="18"/>
  <c r="F79" i="20"/>
  <c r="O79" i="20"/>
  <c r="C7" i="21"/>
  <c r="C19" i="21"/>
  <c r="C20" i="21"/>
  <c r="D7" i="21"/>
  <c r="D19" i="21"/>
  <c r="D20" i="21"/>
  <c r="E7" i="21"/>
  <c r="E19" i="21"/>
  <c r="E20" i="21"/>
  <c r="F7" i="21"/>
  <c r="F19" i="21"/>
  <c r="F20" i="21"/>
  <c r="G7" i="21"/>
  <c r="G19" i="21"/>
  <c r="G20" i="21"/>
  <c r="H7" i="21"/>
  <c r="H19" i="21"/>
  <c r="H20" i="21"/>
  <c r="I7" i="21"/>
  <c r="I19" i="21"/>
  <c r="I20" i="21"/>
  <c r="J7" i="21"/>
  <c r="J19" i="21"/>
  <c r="J20" i="21"/>
  <c r="K7" i="21"/>
  <c r="K19" i="21"/>
  <c r="K20" i="21"/>
  <c r="L7" i="21"/>
  <c r="L19" i="21"/>
  <c r="L20" i="21"/>
  <c r="M7" i="21"/>
  <c r="M19" i="21"/>
  <c r="M20" i="21"/>
  <c r="N7" i="21"/>
  <c r="N19" i="21"/>
  <c r="N20" i="21"/>
  <c r="O20" i="21"/>
  <c r="F60" i="20"/>
  <c r="O60" i="20"/>
  <c r="D51" i="20"/>
  <c r="H64" i="20"/>
  <c r="D53" i="20"/>
  <c r="E82" i="20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E64" i="20"/>
  <c r="G64" i="20"/>
  <c r="I64" i="20"/>
  <c r="C18" i="11"/>
  <c r="E18" i="3"/>
  <c r="N18" i="7"/>
  <c r="M18" i="7"/>
  <c r="L18" i="7"/>
  <c r="K18" i="7"/>
  <c r="J18" i="7"/>
  <c r="I18" i="7"/>
  <c r="H18" i="7"/>
  <c r="G18" i="7"/>
  <c r="F18" i="7"/>
  <c r="E18" i="7"/>
  <c r="D18" i="7"/>
  <c r="C18" i="7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E63" i="20"/>
  <c r="G63" i="20"/>
  <c r="D63" i="20"/>
  <c r="Q63" i="20"/>
  <c r="D64" i="20"/>
  <c r="Q64" i="20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E65" i="20"/>
  <c r="G65" i="20"/>
  <c r="D65" i="20"/>
  <c r="Q65" i="20"/>
  <c r="C18" i="5"/>
  <c r="D18" i="5"/>
  <c r="E18" i="5"/>
  <c r="F18" i="5"/>
  <c r="G18" i="5"/>
  <c r="H18" i="5"/>
  <c r="I18" i="5"/>
  <c r="J18" i="5"/>
  <c r="K18" i="5"/>
  <c r="L18" i="5"/>
  <c r="M18" i="5"/>
  <c r="N18" i="5"/>
  <c r="O18" i="5"/>
  <c r="E66" i="20"/>
  <c r="G66" i="20"/>
  <c r="D66" i="20"/>
  <c r="Q66" i="20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E67" i="20"/>
  <c r="G67" i="20"/>
  <c r="D67" i="20"/>
  <c r="Q67" i="20"/>
  <c r="O18" i="7"/>
  <c r="E68" i="20"/>
  <c r="G68" i="20"/>
  <c r="D68" i="20"/>
  <c r="Q68" i="20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E69" i="20"/>
  <c r="G69" i="20"/>
  <c r="D69" i="20"/>
  <c r="Q69" i="20"/>
  <c r="C18" i="9"/>
  <c r="D18" i="9"/>
  <c r="E18" i="9"/>
  <c r="F18" i="9"/>
  <c r="G18" i="9"/>
  <c r="H18" i="9"/>
  <c r="I18" i="9"/>
  <c r="J18" i="9"/>
  <c r="K18" i="9"/>
  <c r="L18" i="9"/>
  <c r="M18" i="9"/>
  <c r="N18" i="9"/>
  <c r="O18" i="9"/>
  <c r="E70" i="20"/>
  <c r="G70" i="20"/>
  <c r="D70" i="20"/>
  <c r="Q70" i="20"/>
  <c r="C18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E71" i="20"/>
  <c r="G71" i="20"/>
  <c r="D71" i="20"/>
  <c r="Q71" i="20"/>
  <c r="D18" i="11"/>
  <c r="E18" i="11"/>
  <c r="F18" i="11"/>
  <c r="G18" i="11"/>
  <c r="H18" i="11"/>
  <c r="I18" i="11"/>
  <c r="J18" i="11"/>
  <c r="K18" i="11"/>
  <c r="L18" i="11"/>
  <c r="M18" i="11"/>
  <c r="N18" i="11"/>
  <c r="O18" i="11"/>
  <c r="E72" i="20"/>
  <c r="G72" i="20"/>
  <c r="D72" i="20"/>
  <c r="Q72" i="20"/>
  <c r="C18" i="12"/>
  <c r="D18" i="12"/>
  <c r="E18" i="12"/>
  <c r="F18" i="12"/>
  <c r="G18" i="12"/>
  <c r="H18" i="12"/>
  <c r="I18" i="12"/>
  <c r="J18" i="12"/>
  <c r="K18" i="12"/>
  <c r="L18" i="12"/>
  <c r="M18" i="12"/>
  <c r="N18" i="12"/>
  <c r="O18" i="12"/>
  <c r="E73" i="20"/>
  <c r="G73" i="20"/>
  <c r="D73" i="20"/>
  <c r="Q73" i="20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E74" i="20"/>
  <c r="G74" i="20"/>
  <c r="D74" i="20"/>
  <c r="Q74" i="20"/>
  <c r="C18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E75" i="20"/>
  <c r="G75" i="20"/>
  <c r="D75" i="20"/>
  <c r="Q75" i="20"/>
  <c r="C18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E76" i="20"/>
  <c r="G76" i="20"/>
  <c r="D76" i="20"/>
  <c r="Q76" i="20"/>
  <c r="C18" i="16"/>
  <c r="D18" i="16"/>
  <c r="E18" i="16"/>
  <c r="F18" i="16"/>
  <c r="G18" i="16"/>
  <c r="H18" i="16"/>
  <c r="I18" i="16"/>
  <c r="J18" i="16"/>
  <c r="K18" i="16"/>
  <c r="L18" i="16"/>
  <c r="M18" i="16"/>
  <c r="N18" i="16"/>
  <c r="O18" i="16"/>
  <c r="E77" i="20"/>
  <c r="G77" i="20"/>
  <c r="D77" i="20"/>
  <c r="Q77" i="20"/>
  <c r="C18" i="17"/>
  <c r="D18" i="17"/>
  <c r="E18" i="17"/>
  <c r="F18" i="17"/>
  <c r="G18" i="17"/>
  <c r="H18" i="17"/>
  <c r="I18" i="17"/>
  <c r="J18" i="17"/>
  <c r="K18" i="17"/>
  <c r="L18" i="17"/>
  <c r="M18" i="17"/>
  <c r="N18" i="17"/>
  <c r="O18" i="17"/>
  <c r="E78" i="20"/>
  <c r="G78" i="20"/>
  <c r="D78" i="20"/>
  <c r="Q78" i="20"/>
  <c r="C18" i="18"/>
  <c r="D18" i="18"/>
  <c r="E18" i="18"/>
  <c r="F18" i="18"/>
  <c r="G18" i="18"/>
  <c r="H18" i="18"/>
  <c r="I18" i="18"/>
  <c r="J18" i="18"/>
  <c r="K18" i="18"/>
  <c r="L18" i="18"/>
  <c r="M18" i="18"/>
  <c r="N18" i="18"/>
  <c r="O18" i="18"/>
  <c r="E79" i="20"/>
  <c r="G79" i="20"/>
  <c r="D79" i="20"/>
  <c r="Q79" i="20"/>
  <c r="C18" i="3"/>
  <c r="D18" i="3"/>
  <c r="F18" i="3"/>
  <c r="G18" i="3"/>
  <c r="H18" i="3"/>
  <c r="I18" i="3"/>
  <c r="J18" i="3"/>
  <c r="K18" i="3"/>
  <c r="L18" i="3"/>
  <c r="M18" i="3"/>
  <c r="N18" i="3"/>
  <c r="O18" i="3"/>
  <c r="E62" i="20"/>
  <c r="G62" i="20"/>
  <c r="D62" i="20"/>
  <c r="Q62" i="20"/>
  <c r="D60" i="20"/>
  <c r="E61" i="20"/>
  <c r="G61" i="20"/>
  <c r="Q61" i="20"/>
  <c r="C5" i="21"/>
  <c r="C6" i="21"/>
  <c r="C8" i="21"/>
  <c r="C18" i="21"/>
  <c r="D5" i="21"/>
  <c r="D6" i="21"/>
  <c r="D8" i="21"/>
  <c r="D18" i="21"/>
  <c r="E5" i="21"/>
  <c r="E6" i="21"/>
  <c r="E8" i="21"/>
  <c r="E18" i="21"/>
  <c r="F5" i="21"/>
  <c r="F6" i="21"/>
  <c r="F8" i="21"/>
  <c r="F18" i="21"/>
  <c r="G5" i="21"/>
  <c r="G6" i="21"/>
  <c r="G8" i="21"/>
  <c r="G18" i="21"/>
  <c r="H5" i="21"/>
  <c r="H6" i="21"/>
  <c r="H8" i="21"/>
  <c r="H18" i="21"/>
  <c r="I5" i="21"/>
  <c r="I6" i="21"/>
  <c r="I8" i="21"/>
  <c r="I18" i="21"/>
  <c r="J5" i="21"/>
  <c r="J6" i="21"/>
  <c r="J8" i="21"/>
  <c r="J18" i="21"/>
  <c r="K5" i="21"/>
  <c r="K6" i="21"/>
  <c r="K8" i="21"/>
  <c r="K18" i="21"/>
  <c r="L5" i="21"/>
  <c r="L6" i="21"/>
  <c r="L8" i="21"/>
  <c r="L18" i="21"/>
  <c r="M5" i="21"/>
  <c r="M6" i="21"/>
  <c r="M8" i="21"/>
  <c r="M18" i="21"/>
  <c r="N5" i="21"/>
  <c r="N6" i="21"/>
  <c r="N8" i="21"/>
  <c r="N18" i="21"/>
  <c r="O18" i="21"/>
  <c r="E60" i="20"/>
  <c r="G60" i="20"/>
  <c r="Q60" i="20"/>
  <c r="P60" i="20"/>
  <c r="C15" i="3"/>
  <c r="P63" i="20"/>
  <c r="D15" i="8"/>
  <c r="L69" i="20"/>
  <c r="C15" i="8"/>
  <c r="K69" i="20"/>
  <c r="M69" i="20"/>
  <c r="O5" i="21"/>
  <c r="D15" i="21"/>
  <c r="L60" i="20"/>
  <c r="N60" i="20"/>
  <c r="D56" i="20"/>
  <c r="L61" i="20"/>
  <c r="N61" i="20"/>
  <c r="D15" i="3"/>
  <c r="L62" i="20"/>
  <c r="N62" i="20"/>
  <c r="D15" i="2"/>
  <c r="L63" i="20"/>
  <c r="N63" i="20"/>
  <c r="D15" i="1"/>
  <c r="L64" i="20"/>
  <c r="N64" i="20"/>
  <c r="D15" i="4"/>
  <c r="L65" i="20"/>
  <c r="N65" i="20"/>
  <c r="D15" i="5"/>
  <c r="L66" i="20"/>
  <c r="N66" i="20"/>
  <c r="D15" i="6"/>
  <c r="L67" i="20"/>
  <c r="N67" i="20"/>
  <c r="D15" i="7"/>
  <c r="L68" i="20"/>
  <c r="N68" i="20"/>
  <c r="N69" i="20"/>
  <c r="D15" i="9"/>
  <c r="L70" i="20"/>
  <c r="N70" i="20"/>
  <c r="D15" i="10"/>
  <c r="L71" i="20"/>
  <c r="N71" i="20"/>
  <c r="D15" i="11"/>
  <c r="L72" i="20"/>
  <c r="N72" i="20"/>
  <c r="D15" i="12"/>
  <c r="L73" i="20"/>
  <c r="N73" i="20"/>
  <c r="D15" i="13"/>
  <c r="L74" i="20"/>
  <c r="N74" i="20"/>
  <c r="D15" i="14"/>
  <c r="L75" i="20"/>
  <c r="N75" i="20"/>
  <c r="D15" i="15"/>
  <c r="L76" i="20"/>
  <c r="N76" i="20"/>
  <c r="D15" i="16"/>
  <c r="L77" i="20"/>
  <c r="N77" i="20"/>
  <c r="D15" i="17"/>
  <c r="L78" i="20"/>
  <c r="N78" i="20"/>
  <c r="D15" i="18"/>
  <c r="L79" i="20"/>
  <c r="N79" i="20"/>
  <c r="D55" i="20"/>
  <c r="K61" i="20"/>
  <c r="M61" i="20"/>
  <c r="K62" i="20"/>
  <c r="M62" i="20"/>
  <c r="C15" i="2"/>
  <c r="K63" i="20"/>
  <c r="M63" i="20"/>
  <c r="C15" i="1"/>
  <c r="K64" i="20"/>
  <c r="M64" i="20"/>
  <c r="C15" i="4"/>
  <c r="K65" i="20"/>
  <c r="M65" i="20"/>
  <c r="C15" i="5"/>
  <c r="K66" i="20"/>
  <c r="M66" i="20"/>
  <c r="C15" i="6"/>
  <c r="K67" i="20"/>
  <c r="M67" i="20"/>
  <c r="C15" i="7"/>
  <c r="K68" i="20"/>
  <c r="M68" i="20"/>
  <c r="C15" i="9"/>
  <c r="K70" i="20"/>
  <c r="M70" i="20"/>
  <c r="C15" i="10"/>
  <c r="K71" i="20"/>
  <c r="M71" i="20"/>
  <c r="C15" i="11"/>
  <c r="K72" i="20"/>
  <c r="M72" i="20"/>
  <c r="C15" i="12"/>
  <c r="K73" i="20"/>
  <c r="M73" i="20"/>
  <c r="C15" i="13"/>
  <c r="K74" i="20"/>
  <c r="M74" i="20"/>
  <c r="C15" i="14"/>
  <c r="K75" i="20"/>
  <c r="M75" i="20"/>
  <c r="C15" i="15"/>
  <c r="K76" i="20"/>
  <c r="M76" i="20"/>
  <c r="C15" i="16"/>
  <c r="K77" i="20"/>
  <c r="M77" i="20"/>
  <c r="C15" i="17"/>
  <c r="K78" i="20"/>
  <c r="M78" i="20"/>
  <c r="C15" i="18"/>
  <c r="K79" i="20"/>
  <c r="M79" i="20"/>
  <c r="C15" i="21"/>
  <c r="K60" i="20"/>
  <c r="M60" i="20"/>
  <c r="C61" i="20"/>
  <c r="E56" i="20"/>
  <c r="E55" i="20"/>
  <c r="D134" i="20"/>
  <c r="D109" i="20"/>
  <c r="E86" i="20"/>
  <c r="E109" i="20"/>
  <c r="F109" i="20"/>
  <c r="D132" i="20"/>
  <c r="E132" i="20"/>
  <c r="F132" i="20"/>
  <c r="G132" i="20"/>
  <c r="H132" i="20"/>
  <c r="I132" i="20"/>
  <c r="J132" i="20"/>
  <c r="K132" i="20"/>
  <c r="L132" i="20"/>
  <c r="M132" i="20"/>
  <c r="N132" i="20"/>
  <c r="O132" i="20"/>
  <c r="P132" i="20"/>
  <c r="Q132" i="20"/>
  <c r="R132" i="20"/>
  <c r="S132" i="20"/>
  <c r="T132" i="20"/>
  <c r="U132" i="20"/>
  <c r="V132" i="20"/>
  <c r="W132" i="20"/>
  <c r="X132" i="20"/>
  <c r="Y132" i="20"/>
  <c r="Z132" i="20"/>
  <c r="AA132" i="20"/>
  <c r="AB132" i="20"/>
  <c r="AC132" i="20"/>
  <c r="AD132" i="20"/>
  <c r="AE132" i="20"/>
  <c r="AF132" i="20"/>
  <c r="AG132" i="20"/>
  <c r="AH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P133" i="20"/>
  <c r="Q133" i="20"/>
  <c r="R133" i="20"/>
  <c r="S133" i="20"/>
  <c r="T133" i="20"/>
  <c r="U133" i="20"/>
  <c r="V133" i="20"/>
  <c r="W133" i="20"/>
  <c r="X133" i="20"/>
  <c r="Y133" i="20"/>
  <c r="Z133" i="20"/>
  <c r="AA133" i="20"/>
  <c r="AB133" i="20"/>
  <c r="AC133" i="20"/>
  <c r="AD133" i="20"/>
  <c r="AE133" i="20"/>
  <c r="AF133" i="20"/>
  <c r="AG133" i="20"/>
  <c r="AH133" i="20"/>
  <c r="E134" i="20"/>
  <c r="C109" i="20"/>
  <c r="C133" i="20"/>
  <c r="C60" i="20"/>
  <c r="C108" i="20"/>
  <c r="C132" i="20"/>
  <c r="E84" i="20"/>
  <c r="E85" i="20"/>
  <c r="D84" i="20"/>
  <c r="D85" i="20"/>
  <c r="D86" i="20"/>
  <c r="C85" i="20"/>
  <c r="C84" i="20"/>
  <c r="D108" i="20"/>
  <c r="E108" i="20"/>
  <c r="F108" i="20"/>
  <c r="G108" i="20"/>
  <c r="H108" i="20"/>
  <c r="I108" i="20"/>
  <c r="J108" i="20"/>
  <c r="K108" i="20"/>
  <c r="L108" i="20"/>
  <c r="M108" i="20"/>
  <c r="N108" i="20"/>
  <c r="O108" i="20"/>
  <c r="P108" i="20"/>
  <c r="Q108" i="20"/>
  <c r="R108" i="20"/>
  <c r="S108" i="20"/>
  <c r="T108" i="20"/>
  <c r="U108" i="20"/>
  <c r="V108" i="20"/>
  <c r="W108" i="20"/>
  <c r="X108" i="20"/>
  <c r="Y108" i="20"/>
  <c r="Z108" i="20"/>
  <c r="AA108" i="20"/>
  <c r="AB108" i="20"/>
  <c r="AC108" i="20"/>
  <c r="AD108" i="20"/>
  <c r="AE108" i="20"/>
  <c r="AF108" i="20"/>
  <c r="AG108" i="20"/>
  <c r="AH108" i="20"/>
  <c r="G109" i="20"/>
  <c r="H109" i="20"/>
  <c r="I109" i="20"/>
  <c r="J109" i="20"/>
  <c r="K109" i="20"/>
  <c r="L109" i="20"/>
  <c r="M109" i="20"/>
  <c r="N109" i="20"/>
  <c r="O109" i="20"/>
  <c r="P109" i="20"/>
  <c r="Q109" i="20"/>
  <c r="R109" i="20"/>
  <c r="S109" i="20"/>
  <c r="T109" i="20"/>
  <c r="U109" i="20"/>
  <c r="V109" i="20"/>
  <c r="W109" i="20"/>
  <c r="X109" i="20"/>
  <c r="Y109" i="20"/>
  <c r="Z109" i="20"/>
  <c r="AA109" i="20"/>
  <c r="AB109" i="20"/>
  <c r="AC109" i="20"/>
  <c r="AD109" i="20"/>
  <c r="AE109" i="20"/>
  <c r="AF109" i="20"/>
  <c r="AG109" i="20"/>
  <c r="AH109" i="20"/>
  <c r="D110" i="20"/>
  <c r="E110" i="20"/>
  <c r="D135" i="20"/>
  <c r="E135" i="20"/>
  <c r="D136" i="20"/>
  <c r="E136" i="20"/>
  <c r="F136" i="20"/>
  <c r="G136" i="20"/>
  <c r="H136" i="20"/>
  <c r="I136" i="20"/>
  <c r="J136" i="20"/>
  <c r="K136" i="20"/>
  <c r="L136" i="20"/>
  <c r="M136" i="20"/>
  <c r="N136" i="20"/>
  <c r="O136" i="20"/>
  <c r="P136" i="20"/>
  <c r="Q136" i="20"/>
  <c r="R136" i="20"/>
  <c r="S136" i="20"/>
  <c r="T136" i="20"/>
  <c r="U136" i="20"/>
  <c r="V136" i="20"/>
  <c r="W136" i="20"/>
  <c r="X136" i="20"/>
  <c r="Y136" i="20"/>
  <c r="Z136" i="20"/>
  <c r="AA136" i="20"/>
  <c r="AB136" i="20"/>
  <c r="AC136" i="20"/>
  <c r="AD136" i="20"/>
  <c r="AE136" i="20"/>
  <c r="AF136" i="20"/>
  <c r="AG136" i="20"/>
  <c r="F135" i="20"/>
  <c r="G135" i="20"/>
  <c r="H135" i="20"/>
  <c r="I135" i="20"/>
  <c r="J135" i="20"/>
  <c r="K135" i="20"/>
  <c r="L135" i="20"/>
  <c r="M135" i="20"/>
  <c r="N135" i="20"/>
  <c r="O135" i="20"/>
  <c r="P135" i="20"/>
  <c r="Q135" i="20"/>
  <c r="R135" i="20"/>
  <c r="S135" i="20"/>
  <c r="T135" i="20"/>
  <c r="U135" i="20"/>
  <c r="V135" i="20"/>
  <c r="W135" i="20"/>
  <c r="X135" i="20"/>
  <c r="Y135" i="20"/>
  <c r="Z135" i="20"/>
  <c r="AA135" i="20"/>
  <c r="AB135" i="20"/>
  <c r="AC135" i="20"/>
  <c r="AD135" i="20"/>
  <c r="AE135" i="20"/>
  <c r="AF135" i="20"/>
  <c r="AG135" i="20"/>
  <c r="AH135" i="20"/>
  <c r="AH136" i="20"/>
  <c r="D137" i="20"/>
  <c r="E137" i="20"/>
  <c r="F137" i="20"/>
  <c r="G137" i="20"/>
  <c r="H137" i="20"/>
  <c r="I137" i="20"/>
  <c r="J137" i="20"/>
  <c r="K137" i="20"/>
  <c r="L137" i="20"/>
  <c r="M137" i="20"/>
  <c r="N137" i="20"/>
  <c r="O137" i="20"/>
  <c r="P137" i="20"/>
  <c r="Q137" i="20"/>
  <c r="R137" i="20"/>
  <c r="S137" i="20"/>
  <c r="T137" i="20"/>
  <c r="U137" i="20"/>
  <c r="V137" i="20"/>
  <c r="W137" i="20"/>
  <c r="X137" i="20"/>
  <c r="Y137" i="20"/>
  <c r="Z137" i="20"/>
  <c r="AA137" i="20"/>
  <c r="AB137" i="20"/>
  <c r="AC137" i="20"/>
  <c r="AD137" i="20"/>
  <c r="AE137" i="20"/>
  <c r="AF137" i="20"/>
  <c r="AG137" i="20"/>
  <c r="AH137" i="20"/>
  <c r="D138" i="20"/>
  <c r="E138" i="20"/>
  <c r="F138" i="20"/>
  <c r="G138" i="20"/>
  <c r="H138" i="20"/>
  <c r="I138" i="20"/>
  <c r="J138" i="20"/>
  <c r="K138" i="20"/>
  <c r="L138" i="20"/>
  <c r="M138" i="20"/>
  <c r="N138" i="20"/>
  <c r="O138" i="20"/>
  <c r="P138" i="20"/>
  <c r="Q138" i="20"/>
  <c r="R138" i="20"/>
  <c r="S138" i="20"/>
  <c r="T138" i="20"/>
  <c r="U138" i="20"/>
  <c r="V138" i="20"/>
  <c r="W138" i="20"/>
  <c r="X138" i="20"/>
  <c r="Y138" i="20"/>
  <c r="Z138" i="20"/>
  <c r="AA138" i="20"/>
  <c r="AB138" i="20"/>
  <c r="AC138" i="20"/>
  <c r="AD138" i="20"/>
  <c r="AE138" i="20"/>
  <c r="AF138" i="20"/>
  <c r="AG138" i="20"/>
  <c r="AH138" i="20"/>
  <c r="D139" i="20"/>
  <c r="E139" i="20"/>
  <c r="F139" i="20"/>
  <c r="G139" i="20"/>
  <c r="H139" i="20"/>
  <c r="I139" i="20"/>
  <c r="J139" i="20"/>
  <c r="K139" i="20"/>
  <c r="L139" i="20"/>
  <c r="M139" i="20"/>
  <c r="N139" i="20"/>
  <c r="O139" i="20"/>
  <c r="P139" i="20"/>
  <c r="Q139" i="20"/>
  <c r="R139" i="20"/>
  <c r="S139" i="20"/>
  <c r="T139" i="20"/>
  <c r="U139" i="20"/>
  <c r="V139" i="20"/>
  <c r="W139" i="20"/>
  <c r="X139" i="20"/>
  <c r="Y139" i="20"/>
  <c r="Z139" i="20"/>
  <c r="AA139" i="20"/>
  <c r="AB139" i="20"/>
  <c r="AC139" i="20"/>
  <c r="AD139" i="20"/>
  <c r="AE139" i="20"/>
  <c r="AF139" i="20"/>
  <c r="AG139" i="20"/>
  <c r="AH139" i="20"/>
  <c r="D140" i="20"/>
  <c r="E140" i="20"/>
  <c r="F140" i="20"/>
  <c r="G140" i="20"/>
  <c r="H140" i="20"/>
  <c r="I140" i="20"/>
  <c r="J140" i="20"/>
  <c r="K140" i="20"/>
  <c r="L140" i="20"/>
  <c r="M140" i="20"/>
  <c r="N140" i="20"/>
  <c r="O140" i="20"/>
  <c r="P140" i="20"/>
  <c r="Q140" i="20"/>
  <c r="R140" i="20"/>
  <c r="S140" i="20"/>
  <c r="T140" i="20"/>
  <c r="U140" i="20"/>
  <c r="V140" i="20"/>
  <c r="W140" i="20"/>
  <c r="X140" i="20"/>
  <c r="Y140" i="20"/>
  <c r="Z140" i="20"/>
  <c r="AA140" i="20"/>
  <c r="AB140" i="20"/>
  <c r="AC140" i="20"/>
  <c r="AD140" i="20"/>
  <c r="AE140" i="20"/>
  <c r="AF140" i="20"/>
  <c r="AG140" i="20"/>
  <c r="AH140" i="20"/>
  <c r="D141" i="20"/>
  <c r="E141" i="20"/>
  <c r="F141" i="20"/>
  <c r="G141" i="20"/>
  <c r="H141" i="20"/>
  <c r="I141" i="20"/>
  <c r="J141" i="20"/>
  <c r="K141" i="20"/>
  <c r="L141" i="20"/>
  <c r="M141" i="20"/>
  <c r="N141" i="20"/>
  <c r="O141" i="20"/>
  <c r="P141" i="20"/>
  <c r="Q141" i="20"/>
  <c r="R141" i="20"/>
  <c r="S141" i="20"/>
  <c r="T141" i="20"/>
  <c r="U141" i="20"/>
  <c r="V141" i="20"/>
  <c r="W141" i="20"/>
  <c r="X141" i="20"/>
  <c r="Y141" i="20"/>
  <c r="Z141" i="20"/>
  <c r="AA141" i="20"/>
  <c r="AB141" i="20"/>
  <c r="AC141" i="20"/>
  <c r="AD141" i="20"/>
  <c r="AE141" i="20"/>
  <c r="AF141" i="20"/>
  <c r="AG141" i="20"/>
  <c r="AH141" i="20"/>
  <c r="D142" i="20"/>
  <c r="E142" i="20"/>
  <c r="F142" i="20"/>
  <c r="G142" i="20"/>
  <c r="H142" i="20"/>
  <c r="I142" i="20"/>
  <c r="J142" i="20"/>
  <c r="K142" i="20"/>
  <c r="L142" i="20"/>
  <c r="M142" i="20"/>
  <c r="N142" i="20"/>
  <c r="O142" i="20"/>
  <c r="P142" i="20"/>
  <c r="Q142" i="20"/>
  <c r="R142" i="20"/>
  <c r="S142" i="20"/>
  <c r="T142" i="20"/>
  <c r="U142" i="20"/>
  <c r="V142" i="20"/>
  <c r="W142" i="20"/>
  <c r="X142" i="20"/>
  <c r="Y142" i="20"/>
  <c r="Z142" i="20"/>
  <c r="AA142" i="20"/>
  <c r="AB142" i="20"/>
  <c r="AC142" i="20"/>
  <c r="AD142" i="20"/>
  <c r="AE142" i="20"/>
  <c r="AF142" i="20"/>
  <c r="AG142" i="20"/>
  <c r="AH142" i="20"/>
  <c r="D143" i="20"/>
  <c r="E143" i="20"/>
  <c r="F143" i="20"/>
  <c r="G143" i="20"/>
  <c r="H143" i="20"/>
  <c r="I143" i="20"/>
  <c r="J143" i="20"/>
  <c r="K143" i="20"/>
  <c r="L143" i="20"/>
  <c r="M143" i="20"/>
  <c r="N143" i="20"/>
  <c r="O143" i="20"/>
  <c r="P143" i="20"/>
  <c r="Q143" i="20"/>
  <c r="R143" i="20"/>
  <c r="S143" i="20"/>
  <c r="T143" i="20"/>
  <c r="U143" i="20"/>
  <c r="V143" i="20"/>
  <c r="W143" i="20"/>
  <c r="X143" i="20"/>
  <c r="Y143" i="20"/>
  <c r="Z143" i="20"/>
  <c r="AA143" i="20"/>
  <c r="AB143" i="20"/>
  <c r="AC143" i="20"/>
  <c r="AD143" i="20"/>
  <c r="AE143" i="20"/>
  <c r="AF143" i="20"/>
  <c r="AG143" i="20"/>
  <c r="AH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P144" i="20"/>
  <c r="Q144" i="20"/>
  <c r="R144" i="20"/>
  <c r="S144" i="20"/>
  <c r="T144" i="20"/>
  <c r="U144" i="20"/>
  <c r="V144" i="20"/>
  <c r="W144" i="20"/>
  <c r="X144" i="20"/>
  <c r="Y144" i="20"/>
  <c r="Z144" i="20"/>
  <c r="AA144" i="20"/>
  <c r="AB144" i="20"/>
  <c r="AC144" i="20"/>
  <c r="AD144" i="20"/>
  <c r="AE144" i="20"/>
  <c r="AF144" i="20"/>
  <c r="AG144" i="20"/>
  <c r="AH144" i="20"/>
  <c r="D145" i="20"/>
  <c r="E145" i="20"/>
  <c r="F145" i="20"/>
  <c r="G145" i="20"/>
  <c r="H145" i="20"/>
  <c r="I145" i="20"/>
  <c r="J145" i="20"/>
  <c r="K145" i="20"/>
  <c r="L145" i="20"/>
  <c r="M145" i="20"/>
  <c r="N145" i="20"/>
  <c r="O145" i="20"/>
  <c r="P145" i="20"/>
  <c r="Q145" i="20"/>
  <c r="R145" i="20"/>
  <c r="S145" i="20"/>
  <c r="T145" i="20"/>
  <c r="U145" i="20"/>
  <c r="V145" i="20"/>
  <c r="W145" i="20"/>
  <c r="X145" i="20"/>
  <c r="Y145" i="20"/>
  <c r="Z145" i="20"/>
  <c r="AA145" i="20"/>
  <c r="AB145" i="20"/>
  <c r="AC145" i="20"/>
  <c r="AD145" i="20"/>
  <c r="AE145" i="20"/>
  <c r="AF145" i="20"/>
  <c r="AG145" i="20"/>
  <c r="AH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P146" i="20"/>
  <c r="Q146" i="20"/>
  <c r="R146" i="20"/>
  <c r="S146" i="20"/>
  <c r="T146" i="20"/>
  <c r="U146" i="20"/>
  <c r="V146" i="20"/>
  <c r="W146" i="20"/>
  <c r="X146" i="20"/>
  <c r="Y146" i="20"/>
  <c r="Z146" i="20"/>
  <c r="AA146" i="20"/>
  <c r="AB146" i="20"/>
  <c r="AC146" i="20"/>
  <c r="AD146" i="20"/>
  <c r="AE146" i="20"/>
  <c r="AF146" i="20"/>
  <c r="AG146" i="20"/>
  <c r="AH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P147" i="20"/>
  <c r="Q147" i="20"/>
  <c r="R147" i="20"/>
  <c r="S147" i="20"/>
  <c r="T147" i="20"/>
  <c r="U147" i="20"/>
  <c r="V147" i="20"/>
  <c r="W147" i="20"/>
  <c r="X147" i="20"/>
  <c r="Y147" i="20"/>
  <c r="Z147" i="20"/>
  <c r="AA147" i="20"/>
  <c r="AB147" i="20"/>
  <c r="AC147" i="20"/>
  <c r="AD147" i="20"/>
  <c r="AE147" i="20"/>
  <c r="AF147" i="20"/>
  <c r="AG147" i="20"/>
  <c r="AH147" i="20"/>
  <c r="E148" i="20"/>
  <c r="F148" i="20"/>
  <c r="G148" i="20"/>
  <c r="H148" i="20"/>
  <c r="I148" i="20"/>
  <c r="J148" i="20"/>
  <c r="K148" i="20"/>
  <c r="L148" i="20"/>
  <c r="M148" i="20"/>
  <c r="N148" i="20"/>
  <c r="O148" i="20"/>
  <c r="P148" i="20"/>
  <c r="Q148" i="20"/>
  <c r="R148" i="20"/>
  <c r="S148" i="20"/>
  <c r="T148" i="20"/>
  <c r="U148" i="20"/>
  <c r="V148" i="20"/>
  <c r="W148" i="20"/>
  <c r="X148" i="20"/>
  <c r="Y148" i="20"/>
  <c r="Z148" i="20"/>
  <c r="AA148" i="20"/>
  <c r="AB148" i="20"/>
  <c r="AC148" i="20"/>
  <c r="AD148" i="20"/>
  <c r="AE148" i="20"/>
  <c r="AF148" i="20"/>
  <c r="AG148" i="20"/>
  <c r="AH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P149" i="20"/>
  <c r="Q149" i="20"/>
  <c r="R149" i="20"/>
  <c r="S149" i="20"/>
  <c r="T149" i="20"/>
  <c r="U149" i="20"/>
  <c r="V149" i="20"/>
  <c r="W149" i="20"/>
  <c r="X149" i="20"/>
  <c r="Y149" i="20"/>
  <c r="Z149" i="20"/>
  <c r="AA149" i="20"/>
  <c r="AB149" i="20"/>
  <c r="AC149" i="20"/>
  <c r="AD149" i="20"/>
  <c r="AE149" i="20"/>
  <c r="AF149" i="20"/>
  <c r="AG149" i="20"/>
  <c r="AH149" i="20"/>
  <c r="D150" i="20"/>
  <c r="E150" i="20"/>
  <c r="F150" i="20"/>
  <c r="G150" i="20"/>
  <c r="H150" i="20"/>
  <c r="I150" i="20"/>
  <c r="J150" i="20"/>
  <c r="K150" i="20"/>
  <c r="L150" i="20"/>
  <c r="M150" i="20"/>
  <c r="N150" i="20"/>
  <c r="O150" i="20"/>
  <c r="P150" i="20"/>
  <c r="Q150" i="20"/>
  <c r="R150" i="20"/>
  <c r="S150" i="20"/>
  <c r="T150" i="20"/>
  <c r="U150" i="20"/>
  <c r="V150" i="20"/>
  <c r="W150" i="20"/>
  <c r="X150" i="20"/>
  <c r="Y150" i="20"/>
  <c r="Z150" i="20"/>
  <c r="AA150" i="20"/>
  <c r="AB150" i="20"/>
  <c r="AC150" i="20"/>
  <c r="AD150" i="20"/>
  <c r="AE150" i="20"/>
  <c r="AF150" i="20"/>
  <c r="AG150" i="20"/>
  <c r="AH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1" i="20"/>
  <c r="Q151" i="20"/>
  <c r="R151" i="20"/>
  <c r="S151" i="20"/>
  <c r="T151" i="20"/>
  <c r="U151" i="20"/>
  <c r="V151" i="20"/>
  <c r="W151" i="20"/>
  <c r="X151" i="20"/>
  <c r="Y151" i="20"/>
  <c r="Z151" i="20"/>
  <c r="AA151" i="20"/>
  <c r="AB151" i="20"/>
  <c r="AC151" i="20"/>
  <c r="AD151" i="20"/>
  <c r="AE151" i="20"/>
  <c r="AF151" i="20"/>
  <c r="AG151" i="20"/>
  <c r="AH151" i="20"/>
  <c r="F134" i="20"/>
  <c r="G134" i="20"/>
  <c r="H134" i="20"/>
  <c r="I134" i="20"/>
  <c r="J134" i="20"/>
  <c r="K134" i="20"/>
  <c r="L134" i="20"/>
  <c r="M134" i="20"/>
  <c r="N134" i="20"/>
  <c r="O134" i="20"/>
  <c r="P134" i="20"/>
  <c r="Q134" i="20"/>
  <c r="R134" i="20"/>
  <c r="S134" i="20"/>
  <c r="T134" i="20"/>
  <c r="U134" i="20"/>
  <c r="V134" i="20"/>
  <c r="W134" i="20"/>
  <c r="X134" i="20"/>
  <c r="Y134" i="20"/>
  <c r="Z134" i="20"/>
  <c r="AA134" i="20"/>
  <c r="AB134" i="20"/>
  <c r="AC134" i="20"/>
  <c r="AD134" i="20"/>
  <c r="AE134" i="20"/>
  <c r="AF134" i="20"/>
  <c r="AG134" i="20"/>
  <c r="AH134" i="20"/>
  <c r="R79" i="20"/>
  <c r="R78" i="20"/>
  <c r="R77" i="20"/>
  <c r="R76" i="20"/>
  <c r="R75" i="20"/>
  <c r="R74" i="20"/>
  <c r="R73" i="20"/>
  <c r="R72" i="20"/>
  <c r="R71" i="20"/>
  <c r="R70" i="20"/>
  <c r="R69" i="20"/>
  <c r="R68" i="20"/>
  <c r="R67" i="20"/>
  <c r="R66" i="20"/>
  <c r="R65" i="20"/>
  <c r="R64" i="20"/>
  <c r="R63" i="20"/>
  <c r="P62" i="20"/>
  <c r="R62" i="20"/>
  <c r="I61" i="20"/>
  <c r="P61" i="20"/>
  <c r="P79" i="20"/>
  <c r="P78" i="20"/>
  <c r="P77" i="20"/>
  <c r="P76" i="20"/>
  <c r="P75" i="20"/>
  <c r="P74" i="20"/>
  <c r="P73" i="20"/>
  <c r="P72" i="20"/>
  <c r="P71" i="20"/>
  <c r="P70" i="20"/>
  <c r="P69" i="20"/>
  <c r="P68" i="20"/>
  <c r="P67" i="20"/>
  <c r="P66" i="20"/>
  <c r="P65" i="20"/>
  <c r="P64" i="20"/>
  <c r="C2" i="21"/>
  <c r="R61" i="20"/>
  <c r="R60" i="20"/>
  <c r="H61" i="20"/>
  <c r="F110" i="20"/>
  <c r="J61" i="20"/>
  <c r="J60" i="20"/>
  <c r="H60" i="20"/>
  <c r="I60" i="20"/>
  <c r="O6" i="21"/>
  <c r="O7" i="21"/>
  <c r="O8" i="21"/>
  <c r="O19" i="21"/>
  <c r="G110" i="20"/>
  <c r="H110" i="20"/>
  <c r="I110" i="20"/>
  <c r="J110" i="20"/>
  <c r="K110" i="20"/>
  <c r="L110" i="20"/>
  <c r="M110" i="20"/>
  <c r="N110" i="20"/>
  <c r="O110" i="20"/>
  <c r="P110" i="20"/>
  <c r="Q110" i="20"/>
  <c r="R110" i="20"/>
  <c r="S110" i="20"/>
  <c r="T110" i="20"/>
  <c r="U110" i="20"/>
  <c r="V110" i="20"/>
  <c r="W110" i="20"/>
  <c r="X110" i="20"/>
  <c r="Y110" i="20"/>
  <c r="Z110" i="20"/>
  <c r="AA110" i="20"/>
  <c r="AB110" i="20"/>
  <c r="AC110" i="20"/>
  <c r="AD110" i="20"/>
  <c r="AE110" i="20"/>
  <c r="AF110" i="20"/>
  <c r="AG110" i="20"/>
  <c r="AH110" i="20"/>
  <c r="D111" i="20"/>
  <c r="E111" i="20"/>
  <c r="F111" i="20"/>
  <c r="G111" i="20"/>
  <c r="H111" i="20"/>
  <c r="I111" i="20"/>
  <c r="J111" i="20"/>
  <c r="K111" i="20"/>
  <c r="L111" i="20"/>
  <c r="M111" i="20"/>
  <c r="N111" i="20"/>
  <c r="O111" i="20"/>
  <c r="P111" i="20"/>
  <c r="Q111" i="20"/>
  <c r="R111" i="20"/>
  <c r="S111" i="20"/>
  <c r="T111" i="20"/>
  <c r="U111" i="20"/>
  <c r="V111" i="20"/>
  <c r="W111" i="20"/>
  <c r="X111" i="20"/>
  <c r="Y111" i="20"/>
  <c r="Z111" i="20"/>
  <c r="AA111" i="20"/>
  <c r="AB111" i="20"/>
  <c r="AC111" i="20"/>
  <c r="AD111" i="20"/>
  <c r="AE111" i="20"/>
  <c r="AF111" i="20"/>
  <c r="AG111" i="20"/>
  <c r="AH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P112" i="20"/>
  <c r="Q112" i="20"/>
  <c r="R112" i="20"/>
  <c r="S112" i="20"/>
  <c r="T112" i="20"/>
  <c r="U112" i="20"/>
  <c r="V112" i="20"/>
  <c r="W112" i="20"/>
  <c r="X112" i="20"/>
  <c r="Y112" i="20"/>
  <c r="Z112" i="20"/>
  <c r="AA112" i="20"/>
  <c r="AB112" i="20"/>
  <c r="AC112" i="20"/>
  <c r="AD112" i="20"/>
  <c r="AE112" i="20"/>
  <c r="AF112" i="20"/>
  <c r="AG112" i="20"/>
  <c r="AH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P113" i="20"/>
  <c r="Q113" i="20"/>
  <c r="R113" i="20"/>
  <c r="S113" i="20"/>
  <c r="T113" i="20"/>
  <c r="U113" i="20"/>
  <c r="V113" i="20"/>
  <c r="W113" i="20"/>
  <c r="X113" i="20"/>
  <c r="Y113" i="20"/>
  <c r="Z113" i="20"/>
  <c r="AA113" i="20"/>
  <c r="AB113" i="20"/>
  <c r="AC113" i="20"/>
  <c r="AD113" i="20"/>
  <c r="AE113" i="20"/>
  <c r="AF113" i="20"/>
  <c r="AG113" i="20"/>
  <c r="AH113" i="20"/>
  <c r="D114" i="20"/>
  <c r="E114" i="20"/>
  <c r="F114" i="20"/>
  <c r="G114" i="20"/>
  <c r="H114" i="20"/>
  <c r="I114" i="20"/>
  <c r="J114" i="20"/>
  <c r="K114" i="20"/>
  <c r="L114" i="20"/>
  <c r="M114" i="20"/>
  <c r="N114" i="20"/>
  <c r="O114" i="20"/>
  <c r="P114" i="20"/>
  <c r="Q114" i="20"/>
  <c r="R114" i="20"/>
  <c r="S114" i="20"/>
  <c r="T114" i="20"/>
  <c r="U114" i="20"/>
  <c r="V114" i="20"/>
  <c r="W114" i="20"/>
  <c r="X114" i="20"/>
  <c r="Y114" i="20"/>
  <c r="Z114" i="20"/>
  <c r="AA114" i="20"/>
  <c r="AB114" i="20"/>
  <c r="AC114" i="20"/>
  <c r="AD114" i="20"/>
  <c r="AE114" i="20"/>
  <c r="AF114" i="20"/>
  <c r="AG114" i="20"/>
  <c r="AH114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15" i="20"/>
  <c r="Q115" i="20"/>
  <c r="R115" i="20"/>
  <c r="S115" i="20"/>
  <c r="T115" i="20"/>
  <c r="U115" i="20"/>
  <c r="V115" i="20"/>
  <c r="W115" i="20"/>
  <c r="X115" i="20"/>
  <c r="Y115" i="20"/>
  <c r="Z115" i="20"/>
  <c r="AA115" i="20"/>
  <c r="AB115" i="20"/>
  <c r="AC115" i="20"/>
  <c r="AD115" i="20"/>
  <c r="AE115" i="20"/>
  <c r="AF115" i="20"/>
  <c r="AG115" i="20"/>
  <c r="AH115" i="20"/>
  <c r="D116" i="20"/>
  <c r="E116" i="20"/>
  <c r="F116" i="20"/>
  <c r="G116" i="20"/>
  <c r="H116" i="20"/>
  <c r="I116" i="20"/>
  <c r="J116" i="20"/>
  <c r="K116" i="20"/>
  <c r="L116" i="20"/>
  <c r="M116" i="20"/>
  <c r="N116" i="20"/>
  <c r="O116" i="20"/>
  <c r="P116" i="20"/>
  <c r="Q116" i="20"/>
  <c r="R116" i="20"/>
  <c r="S116" i="20"/>
  <c r="T116" i="20"/>
  <c r="U116" i="20"/>
  <c r="V116" i="20"/>
  <c r="W116" i="20"/>
  <c r="X116" i="20"/>
  <c r="Y116" i="20"/>
  <c r="Z116" i="20"/>
  <c r="AA116" i="20"/>
  <c r="AB116" i="20"/>
  <c r="AC116" i="20"/>
  <c r="AD116" i="20"/>
  <c r="AE116" i="20"/>
  <c r="AF116" i="20"/>
  <c r="AG116" i="20"/>
  <c r="AH116" i="20"/>
  <c r="D117" i="20"/>
  <c r="E117" i="20"/>
  <c r="F117" i="20"/>
  <c r="G117" i="20"/>
  <c r="H117" i="20"/>
  <c r="I117" i="20"/>
  <c r="J117" i="20"/>
  <c r="K117" i="20"/>
  <c r="L117" i="20"/>
  <c r="M117" i="20"/>
  <c r="N117" i="20"/>
  <c r="O117" i="20"/>
  <c r="P117" i="20"/>
  <c r="Q117" i="20"/>
  <c r="R117" i="20"/>
  <c r="S117" i="20"/>
  <c r="T117" i="20"/>
  <c r="U117" i="20"/>
  <c r="V117" i="20"/>
  <c r="W117" i="20"/>
  <c r="X117" i="20"/>
  <c r="Y117" i="20"/>
  <c r="Z117" i="20"/>
  <c r="AA117" i="20"/>
  <c r="AB117" i="20"/>
  <c r="AC117" i="20"/>
  <c r="AD117" i="20"/>
  <c r="AE117" i="20"/>
  <c r="AF117" i="20"/>
  <c r="AG117" i="20"/>
  <c r="AH117" i="20"/>
  <c r="D118" i="20"/>
  <c r="E118" i="20"/>
  <c r="F118" i="20"/>
  <c r="G118" i="20"/>
  <c r="H118" i="20"/>
  <c r="I118" i="20"/>
  <c r="J118" i="20"/>
  <c r="K118" i="20"/>
  <c r="L118" i="20"/>
  <c r="M118" i="20"/>
  <c r="N118" i="20"/>
  <c r="O118" i="20"/>
  <c r="P118" i="20"/>
  <c r="Q118" i="20"/>
  <c r="R118" i="20"/>
  <c r="S118" i="20"/>
  <c r="T118" i="20"/>
  <c r="U118" i="20"/>
  <c r="V118" i="20"/>
  <c r="W118" i="20"/>
  <c r="X118" i="20"/>
  <c r="Y118" i="20"/>
  <c r="Z118" i="20"/>
  <c r="AA118" i="20"/>
  <c r="AB118" i="20"/>
  <c r="AC118" i="20"/>
  <c r="AD118" i="20"/>
  <c r="AE118" i="20"/>
  <c r="AF118" i="20"/>
  <c r="AG118" i="20"/>
  <c r="AH118" i="20"/>
  <c r="D119" i="20"/>
  <c r="E119" i="20"/>
  <c r="F119" i="20"/>
  <c r="G119" i="20"/>
  <c r="H119" i="20"/>
  <c r="I119" i="20"/>
  <c r="J119" i="20"/>
  <c r="K119" i="20"/>
  <c r="L119" i="20"/>
  <c r="M119" i="20"/>
  <c r="N119" i="20"/>
  <c r="O119" i="20"/>
  <c r="P119" i="20"/>
  <c r="Q119" i="20"/>
  <c r="R119" i="20"/>
  <c r="S119" i="20"/>
  <c r="T119" i="20"/>
  <c r="U119" i="20"/>
  <c r="V119" i="20"/>
  <c r="W119" i="20"/>
  <c r="X119" i="20"/>
  <c r="Y119" i="20"/>
  <c r="Z119" i="20"/>
  <c r="AA119" i="20"/>
  <c r="AB119" i="20"/>
  <c r="AC119" i="20"/>
  <c r="AD119" i="20"/>
  <c r="AE119" i="20"/>
  <c r="AF119" i="20"/>
  <c r="AG119" i="20"/>
  <c r="AH119" i="20"/>
  <c r="D120" i="20"/>
  <c r="E120" i="20"/>
  <c r="F120" i="20"/>
  <c r="G120" i="20"/>
  <c r="H120" i="20"/>
  <c r="I120" i="20"/>
  <c r="J120" i="20"/>
  <c r="K120" i="20"/>
  <c r="L120" i="20"/>
  <c r="M120" i="20"/>
  <c r="N120" i="20"/>
  <c r="O120" i="20"/>
  <c r="P120" i="20"/>
  <c r="Q120" i="20"/>
  <c r="R120" i="20"/>
  <c r="S120" i="20"/>
  <c r="T120" i="20"/>
  <c r="U120" i="20"/>
  <c r="V120" i="20"/>
  <c r="W120" i="20"/>
  <c r="X120" i="20"/>
  <c r="Y120" i="20"/>
  <c r="Z120" i="20"/>
  <c r="AA120" i="20"/>
  <c r="AB120" i="20"/>
  <c r="AC120" i="20"/>
  <c r="AD120" i="20"/>
  <c r="AE120" i="20"/>
  <c r="AF120" i="20"/>
  <c r="AG120" i="20"/>
  <c r="AH120" i="20"/>
  <c r="D121" i="20"/>
  <c r="E121" i="20"/>
  <c r="F121" i="20"/>
  <c r="G121" i="20"/>
  <c r="H121" i="20"/>
  <c r="I121" i="20"/>
  <c r="J121" i="20"/>
  <c r="K121" i="20"/>
  <c r="L121" i="20"/>
  <c r="M121" i="20"/>
  <c r="N121" i="20"/>
  <c r="O121" i="20"/>
  <c r="P121" i="20"/>
  <c r="Q121" i="20"/>
  <c r="R121" i="20"/>
  <c r="S121" i="20"/>
  <c r="T121" i="20"/>
  <c r="U121" i="20"/>
  <c r="V121" i="20"/>
  <c r="W121" i="20"/>
  <c r="X121" i="20"/>
  <c r="Y121" i="20"/>
  <c r="Z121" i="20"/>
  <c r="AA121" i="20"/>
  <c r="AB121" i="20"/>
  <c r="AC121" i="20"/>
  <c r="AD121" i="20"/>
  <c r="AE121" i="20"/>
  <c r="AF121" i="20"/>
  <c r="AG121" i="20"/>
  <c r="AH121" i="20"/>
  <c r="D122" i="20"/>
  <c r="E122" i="20"/>
  <c r="F122" i="20"/>
  <c r="G122" i="20"/>
  <c r="H122" i="20"/>
  <c r="I122" i="20"/>
  <c r="J122" i="20"/>
  <c r="K122" i="20"/>
  <c r="L122" i="20"/>
  <c r="M122" i="20"/>
  <c r="N122" i="20"/>
  <c r="O122" i="20"/>
  <c r="P122" i="20"/>
  <c r="Q122" i="20"/>
  <c r="R122" i="20"/>
  <c r="S122" i="20"/>
  <c r="T122" i="20"/>
  <c r="U122" i="20"/>
  <c r="V122" i="20"/>
  <c r="W122" i="20"/>
  <c r="X122" i="20"/>
  <c r="Y122" i="20"/>
  <c r="Z122" i="20"/>
  <c r="AA122" i="20"/>
  <c r="AB122" i="20"/>
  <c r="AC122" i="20"/>
  <c r="AD122" i="20"/>
  <c r="AE122" i="20"/>
  <c r="AF122" i="20"/>
  <c r="AG122" i="20"/>
  <c r="AH122" i="20"/>
  <c r="D123" i="20"/>
  <c r="E123" i="20"/>
  <c r="F123" i="20"/>
  <c r="G123" i="20"/>
  <c r="H123" i="20"/>
  <c r="I123" i="20"/>
  <c r="J123" i="20"/>
  <c r="K123" i="20"/>
  <c r="L123" i="20"/>
  <c r="M123" i="20"/>
  <c r="N123" i="20"/>
  <c r="O123" i="20"/>
  <c r="P123" i="20"/>
  <c r="Q123" i="20"/>
  <c r="R123" i="20"/>
  <c r="S123" i="20"/>
  <c r="T123" i="20"/>
  <c r="U123" i="20"/>
  <c r="V123" i="20"/>
  <c r="W123" i="20"/>
  <c r="X123" i="20"/>
  <c r="Y123" i="20"/>
  <c r="Z123" i="20"/>
  <c r="AA123" i="20"/>
  <c r="AB123" i="20"/>
  <c r="AC123" i="20"/>
  <c r="AD123" i="20"/>
  <c r="AE123" i="20"/>
  <c r="AF123" i="20"/>
  <c r="AG123" i="20"/>
  <c r="AH123" i="20"/>
  <c r="D124" i="20"/>
  <c r="E124" i="20"/>
  <c r="F124" i="20"/>
  <c r="G124" i="20"/>
  <c r="H124" i="20"/>
  <c r="I124" i="20"/>
  <c r="J124" i="20"/>
  <c r="K124" i="20"/>
  <c r="L124" i="20"/>
  <c r="M124" i="20"/>
  <c r="N124" i="20"/>
  <c r="O124" i="20"/>
  <c r="P124" i="20"/>
  <c r="Q124" i="20"/>
  <c r="R124" i="20"/>
  <c r="S124" i="20"/>
  <c r="T124" i="20"/>
  <c r="U124" i="20"/>
  <c r="V124" i="20"/>
  <c r="W124" i="20"/>
  <c r="X124" i="20"/>
  <c r="Y124" i="20"/>
  <c r="Z124" i="20"/>
  <c r="AA124" i="20"/>
  <c r="AB124" i="20"/>
  <c r="AC124" i="20"/>
  <c r="AD124" i="20"/>
  <c r="AE124" i="20"/>
  <c r="AF124" i="20"/>
  <c r="AG124" i="20"/>
  <c r="AH124" i="20"/>
  <c r="D125" i="20"/>
  <c r="E125" i="20"/>
  <c r="F125" i="20"/>
  <c r="G125" i="20"/>
  <c r="H125" i="20"/>
  <c r="I125" i="20"/>
  <c r="J125" i="20"/>
  <c r="K125" i="20"/>
  <c r="L125" i="20"/>
  <c r="M125" i="20"/>
  <c r="N125" i="20"/>
  <c r="O125" i="20"/>
  <c r="P125" i="20"/>
  <c r="Q125" i="20"/>
  <c r="R125" i="20"/>
  <c r="S125" i="20"/>
  <c r="T125" i="20"/>
  <c r="U125" i="20"/>
  <c r="V125" i="20"/>
  <c r="W125" i="20"/>
  <c r="X125" i="20"/>
  <c r="Y125" i="20"/>
  <c r="Z125" i="20"/>
  <c r="AA125" i="20"/>
  <c r="AB125" i="20"/>
  <c r="AC125" i="20"/>
  <c r="AD125" i="20"/>
  <c r="AE125" i="20"/>
  <c r="AF125" i="20"/>
  <c r="AG125" i="20"/>
  <c r="AH125" i="20"/>
  <c r="D126" i="20"/>
  <c r="E126" i="20"/>
  <c r="F126" i="20"/>
  <c r="G126" i="20"/>
  <c r="H126" i="20"/>
  <c r="I126" i="20"/>
  <c r="J126" i="20"/>
  <c r="K126" i="20"/>
  <c r="L126" i="20"/>
  <c r="M126" i="20"/>
  <c r="N126" i="20"/>
  <c r="O126" i="20"/>
  <c r="P126" i="20"/>
  <c r="Q126" i="20"/>
  <c r="R126" i="20"/>
  <c r="S126" i="20"/>
  <c r="T126" i="20"/>
  <c r="U126" i="20"/>
  <c r="V126" i="20"/>
  <c r="W126" i="20"/>
  <c r="X126" i="20"/>
  <c r="Y126" i="20"/>
  <c r="Z126" i="20"/>
  <c r="AA126" i="20"/>
  <c r="AB126" i="20"/>
  <c r="AC126" i="20"/>
  <c r="AD126" i="20"/>
  <c r="AE126" i="20"/>
  <c r="AF126" i="20"/>
  <c r="AG126" i="20"/>
  <c r="AH126" i="20"/>
  <c r="D127" i="20"/>
  <c r="E127" i="20"/>
  <c r="F127" i="20"/>
  <c r="G127" i="20"/>
  <c r="H127" i="20"/>
  <c r="I127" i="20"/>
  <c r="J127" i="20"/>
  <c r="K127" i="20"/>
  <c r="L127" i="20"/>
  <c r="M127" i="20"/>
  <c r="N127" i="20"/>
  <c r="O127" i="20"/>
  <c r="P127" i="20"/>
  <c r="Q127" i="20"/>
  <c r="R127" i="20"/>
  <c r="S127" i="20"/>
  <c r="T127" i="20"/>
  <c r="U127" i="20"/>
  <c r="V127" i="20"/>
  <c r="W127" i="20"/>
  <c r="X127" i="20"/>
  <c r="Y127" i="20"/>
  <c r="Z127" i="20"/>
  <c r="AA127" i="20"/>
  <c r="AB127" i="20"/>
  <c r="AC127" i="20"/>
  <c r="AD127" i="20"/>
  <c r="AE127" i="20"/>
  <c r="AF127" i="20"/>
  <c r="AG127" i="20"/>
  <c r="AH127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8" i="20"/>
  <c r="J79" i="20"/>
  <c r="J62" i="20"/>
  <c r="I63" i="20"/>
  <c r="I65" i="20"/>
  <c r="I66" i="20"/>
  <c r="I67" i="20"/>
  <c r="I68" i="20"/>
  <c r="I69" i="20"/>
  <c r="I70" i="20"/>
  <c r="I71" i="20"/>
  <c r="I72" i="20"/>
  <c r="I73" i="20"/>
  <c r="I74" i="20"/>
  <c r="I75" i="20"/>
  <c r="I76" i="20"/>
  <c r="I77" i="20"/>
  <c r="I78" i="20"/>
  <c r="I79" i="20"/>
  <c r="I62" i="20"/>
  <c r="E87" i="20"/>
  <c r="E88" i="20"/>
  <c r="E89" i="20"/>
  <c r="E90" i="20"/>
  <c r="E91" i="20"/>
  <c r="E92" i="20"/>
  <c r="E93" i="20"/>
  <c r="E94" i="20"/>
  <c r="E95" i="20"/>
  <c r="E96" i="20"/>
  <c r="E97" i="20"/>
  <c r="E98" i="20"/>
  <c r="E99" i="20"/>
  <c r="E100" i="20"/>
  <c r="E101" i="20"/>
  <c r="E102" i="20"/>
  <c r="E103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H62" i="20"/>
  <c r="H63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O8" i="17"/>
  <c r="O19" i="17"/>
  <c r="O8" i="18"/>
  <c r="O19" i="18"/>
  <c r="O8" i="16"/>
  <c r="O8" i="15"/>
  <c r="O8" i="14"/>
  <c r="O8" i="13"/>
  <c r="O8" i="12"/>
  <c r="O8" i="11"/>
  <c r="O8" i="10"/>
  <c r="O8" i="9"/>
  <c r="O8" i="8"/>
  <c r="O5" i="8"/>
  <c r="O8" i="7"/>
  <c r="O8" i="6"/>
  <c r="O8" i="5"/>
  <c r="O19" i="16"/>
  <c r="O19" i="15"/>
  <c r="O19" i="14"/>
  <c r="O19" i="13"/>
  <c r="O19" i="12"/>
  <c r="O19" i="11"/>
  <c r="O19" i="10"/>
  <c r="O19" i="9"/>
  <c r="O19" i="8"/>
  <c r="O19" i="7"/>
  <c r="O19" i="6"/>
  <c r="O19" i="5"/>
  <c r="O8" i="4"/>
  <c r="O19" i="4"/>
  <c r="O8" i="2"/>
  <c r="O19" i="2"/>
  <c r="O8" i="3"/>
  <c r="O5" i="3"/>
  <c r="O19" i="3"/>
  <c r="O19" i="1"/>
  <c r="O8" i="1"/>
</calcChain>
</file>

<file path=xl/sharedStrings.xml><?xml version="1.0" encoding="utf-8"?>
<sst xmlns="http://schemas.openxmlformats.org/spreadsheetml/2006/main" count="985" uniqueCount="182">
  <si>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</si>
  <si>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</si>
  <si>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</si>
  <si>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</si>
  <si>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</si>
  <si>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</si>
  <si>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</si>
  <si>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</si>
  <si>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</si>
  <si>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</si>
  <si>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</si>
  <si>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</si>
  <si>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Average</t>
  </si>
  <si>
    <t>Solar Insolation on a tilted surface</t>
  </si>
  <si>
    <r>
      <t>Monthly Average Air Temperature At 10m Above the Surface (</t>
    </r>
    <r>
      <rPr>
        <vertAlign val="superscript"/>
        <sz val="12"/>
        <color theme="1"/>
        <rFont val="Calibri"/>
        <scheme val="minor"/>
      </rPr>
      <t>o</t>
    </r>
    <r>
      <rPr>
        <sz val="12"/>
        <color theme="1"/>
        <rFont val="Calibri"/>
        <family val="2"/>
        <scheme val="minor"/>
      </rPr>
      <t>C), 22 year Average</t>
    </r>
  </si>
  <si>
    <t>Monthly Average Wind Speed at 80 m (m/s)</t>
  </si>
  <si>
    <t>Average daylight hours per day</t>
  </si>
  <si>
    <t>Tilt Angle</t>
  </si>
  <si>
    <r>
      <t>28</t>
    </r>
    <r>
      <rPr>
        <vertAlign val="superscript"/>
        <sz val="12"/>
        <color theme="1"/>
        <rFont val="Calibri"/>
        <scheme val="minor"/>
      </rPr>
      <t>o</t>
    </r>
  </si>
  <si>
    <t>Latitude</t>
  </si>
  <si>
    <t>Longitude</t>
  </si>
  <si>
    <t>Inputs</t>
  </si>
  <si>
    <r>
      <t>Solar Insolation on a tilted surface (kWh/m</t>
    </r>
    <r>
      <rPr>
        <vertAlign val="superscript"/>
        <sz val="12"/>
        <color theme="1"/>
        <rFont val="Calibri"/>
        <scheme val="minor"/>
      </rPr>
      <t>2</t>
    </r>
    <r>
      <rPr>
        <sz val="12"/>
        <color theme="1"/>
        <rFont val="Calibri"/>
        <family val="2"/>
        <scheme val="minor"/>
      </rPr>
      <t>/day)</t>
    </r>
  </si>
  <si>
    <t>Price Inputs</t>
  </si>
  <si>
    <t>Resource and Meteorological Inputs</t>
  </si>
  <si>
    <t>Wind Inputs</t>
  </si>
  <si>
    <t>Solar Inputs</t>
  </si>
  <si>
    <t>Input</t>
  </si>
  <si>
    <r>
      <t>F</t>
    </r>
    <r>
      <rPr>
        <b/>
        <vertAlign val="subscript"/>
        <sz val="12"/>
        <color theme="1"/>
        <rFont val="Calibri"/>
        <scheme val="minor"/>
      </rPr>
      <t>R</t>
    </r>
    <r>
      <rPr>
        <b/>
        <sz val="12"/>
        <color theme="1"/>
        <rFont val="Calibri"/>
        <family val="2"/>
        <scheme val="minor"/>
      </rPr>
      <t>(τα)</t>
    </r>
    <r>
      <rPr>
        <b/>
        <vertAlign val="subscript"/>
        <sz val="12"/>
        <color theme="1"/>
        <rFont val="Calibri"/>
        <scheme val="minor"/>
      </rPr>
      <t>n</t>
    </r>
  </si>
  <si>
    <r>
      <t>Flat plate collectors (-10</t>
    </r>
    <r>
      <rPr>
        <vertAlign val="superscript"/>
        <sz val="12"/>
        <color theme="1"/>
        <rFont val="Calibri"/>
        <scheme val="minor"/>
      </rPr>
      <t>o</t>
    </r>
    <r>
      <rPr>
        <sz val="12"/>
        <color theme="1"/>
        <rFont val="Calibri"/>
        <family val="2"/>
        <scheme val="minor"/>
      </rPr>
      <t>C to 50</t>
    </r>
    <r>
      <rPr>
        <vertAlign val="superscript"/>
        <sz val="12"/>
        <color theme="1"/>
        <rFont val="Calibri"/>
        <scheme val="minor"/>
      </rPr>
      <t>o</t>
    </r>
    <r>
      <rPr>
        <sz val="12"/>
        <color theme="1"/>
        <rFont val="Calibri"/>
        <family val="2"/>
        <scheme val="minor"/>
      </rPr>
      <t>C above ambient), Evacuated tube (greater than  50</t>
    </r>
    <r>
      <rPr>
        <vertAlign val="superscript"/>
        <sz val="12"/>
        <color theme="1"/>
        <rFont val="Calibri"/>
        <scheme val="minor"/>
      </rPr>
      <t>o</t>
    </r>
    <r>
      <rPr>
        <sz val="12"/>
        <color theme="1"/>
        <rFont val="Calibri"/>
        <family val="2"/>
        <scheme val="minor"/>
      </rPr>
      <t>C above ambient)</t>
    </r>
  </si>
  <si>
    <t xml:space="preserve">Yearly Total </t>
  </si>
  <si>
    <t>Useful Wind Energy (kWh)</t>
  </si>
  <si>
    <r>
      <t>Useful Solar Energy [Q</t>
    </r>
    <r>
      <rPr>
        <vertAlign val="subscript"/>
        <sz val="12"/>
        <color theme="1"/>
        <rFont val="Calibri"/>
        <scheme val="minor"/>
      </rPr>
      <t>u</t>
    </r>
    <r>
      <rPr>
        <sz val="12"/>
        <color theme="1"/>
        <rFont val="Calibri"/>
        <family val="2"/>
        <scheme val="minor"/>
      </rPr>
      <t xml:space="preserve"> (MJ)]</t>
    </r>
  </si>
  <si>
    <t>Useful Wind Power (kW)</t>
  </si>
  <si>
    <t>Logansport, IN</t>
  </si>
  <si>
    <t>Gibson City, IL</t>
  </si>
  <si>
    <t>Cambria, WI</t>
  </si>
  <si>
    <t>Marshall, MN</t>
  </si>
  <si>
    <t>Watertown, SD</t>
  </si>
  <si>
    <t>Richardton, ND</t>
  </si>
  <si>
    <t>St. Joseph, MO</t>
  </si>
  <si>
    <t>Sutherland, NE</t>
  </si>
  <si>
    <t>Torrington, WY</t>
  </si>
  <si>
    <t>Burley, ID</t>
  </si>
  <si>
    <t>Yuma, CO</t>
  </si>
  <si>
    <t>Russell, KS</t>
  </si>
  <si>
    <t>Arkalon, KS</t>
  </si>
  <si>
    <t>Plainview, TX</t>
  </si>
  <si>
    <t>Imperial Valley, CA</t>
  </si>
  <si>
    <t>Stockton, CA</t>
  </si>
  <si>
    <t>Maricopa, AZ</t>
  </si>
  <si>
    <r>
      <t>25</t>
    </r>
    <r>
      <rPr>
        <vertAlign val="superscript"/>
        <sz val="12"/>
        <color theme="1"/>
        <rFont val="Calibri"/>
        <scheme val="minor"/>
      </rPr>
      <t>o</t>
    </r>
  </si>
  <si>
    <r>
      <t>29</t>
    </r>
    <r>
      <rPr>
        <vertAlign val="superscript"/>
        <sz val="12"/>
        <color theme="1"/>
        <rFont val="Calibri"/>
        <scheme val="minor"/>
      </rPr>
      <t>o</t>
    </r>
  </si>
  <si>
    <r>
      <rPr>
        <sz val="12"/>
        <color theme="1"/>
        <rFont val="Calibri"/>
        <family val="2"/>
        <scheme val="minor"/>
      </rPr>
      <t>31</t>
    </r>
    <r>
      <rPr>
        <vertAlign val="superscript"/>
        <sz val="12"/>
        <color theme="1"/>
        <rFont val="Calibri"/>
        <scheme val="minor"/>
      </rPr>
      <t>o</t>
    </r>
  </si>
  <si>
    <r>
      <t>27</t>
    </r>
    <r>
      <rPr>
        <vertAlign val="superscript"/>
        <sz val="12"/>
        <color theme="1"/>
        <rFont val="Calibri"/>
        <scheme val="minor"/>
      </rPr>
      <t>o</t>
    </r>
  </si>
  <si>
    <r>
      <t>24</t>
    </r>
    <r>
      <rPr>
        <vertAlign val="superscript"/>
        <sz val="12"/>
        <color theme="1"/>
        <rFont val="Calibri"/>
        <scheme val="minor"/>
      </rPr>
      <t>o</t>
    </r>
  </si>
  <si>
    <r>
      <t>26</t>
    </r>
    <r>
      <rPr>
        <vertAlign val="superscript"/>
        <sz val="12"/>
        <color theme="1"/>
        <rFont val="Calibri"/>
        <scheme val="minor"/>
      </rPr>
      <t>o</t>
    </r>
  </si>
  <si>
    <r>
      <t>Monthly Average Air Temperature At 10m Above the Surface (</t>
    </r>
    <r>
      <rPr>
        <vertAlign val="superscript"/>
        <sz val="12"/>
        <color theme="1"/>
        <rFont val="Calibri"/>
        <scheme val="minor"/>
      </rPr>
      <t>o</t>
    </r>
    <r>
      <rPr>
        <sz val="12"/>
        <color theme="1"/>
        <rFont val="Calibri"/>
        <family val="2"/>
        <scheme val="minor"/>
      </rPr>
      <t>C), 22 year Average</t>
    </r>
  </si>
  <si>
    <r>
      <t>38</t>
    </r>
    <r>
      <rPr>
        <vertAlign val="superscript"/>
        <sz val="12"/>
        <color theme="1"/>
        <rFont val="Calibri"/>
        <scheme val="minor"/>
      </rPr>
      <t>o</t>
    </r>
  </si>
  <si>
    <r>
      <t>37</t>
    </r>
    <r>
      <rPr>
        <vertAlign val="superscript"/>
        <sz val="12"/>
        <color theme="1"/>
        <rFont val="Calibri"/>
        <scheme val="minor"/>
      </rPr>
      <t>o</t>
    </r>
  </si>
  <si>
    <r>
      <t>34</t>
    </r>
    <r>
      <rPr>
        <vertAlign val="superscript"/>
        <sz val="12"/>
        <color theme="1"/>
        <rFont val="Calibri"/>
        <scheme val="minor"/>
      </rPr>
      <t>o</t>
    </r>
  </si>
  <si>
    <r>
      <t>32</t>
    </r>
    <r>
      <rPr>
        <vertAlign val="superscript"/>
        <sz val="12"/>
        <color theme="1"/>
        <rFont val="Calibri"/>
        <scheme val="minor"/>
      </rPr>
      <t>o</t>
    </r>
  </si>
  <si>
    <r>
      <t>33</t>
    </r>
    <r>
      <rPr>
        <vertAlign val="superscript"/>
        <sz val="12"/>
        <color theme="1"/>
        <rFont val="Calibri"/>
        <scheme val="minor"/>
      </rPr>
      <t>o</t>
    </r>
  </si>
  <si>
    <t>Useful Wind Energy (MMBtu/yr)</t>
  </si>
  <si>
    <t>Max: 0.59</t>
  </si>
  <si>
    <t>Outputs</t>
  </si>
  <si>
    <t>0-5%</t>
  </si>
  <si>
    <t>0-3%</t>
  </si>
  <si>
    <r>
      <t>Natural Gas Rate ($/MMBtu)</t>
    </r>
    <r>
      <rPr>
        <vertAlign val="superscript"/>
        <sz val="12"/>
        <color theme="1"/>
        <rFont val="Calibri"/>
        <scheme val="minor"/>
      </rPr>
      <t xml:space="preserve"> *</t>
    </r>
    <r>
      <rPr>
        <sz val="12"/>
        <color theme="1"/>
        <rFont val="Calibri"/>
        <family val="2"/>
        <scheme val="minor"/>
      </rPr>
      <t>Present Dollars</t>
    </r>
  </si>
  <si>
    <t>Typical Values</t>
  </si>
  <si>
    <t>24/7 ideal operation</t>
  </si>
  <si>
    <t>User Location (monthly data)</t>
  </si>
  <si>
    <t>User Location (yearly data)</t>
  </si>
  <si>
    <r>
      <t>Natural Gas Percent Price Increase per Year, n</t>
    </r>
    <r>
      <rPr>
        <b/>
        <vertAlign val="subscript"/>
        <sz val="12"/>
        <color theme="1"/>
        <rFont val="Calibri"/>
        <scheme val="minor"/>
      </rPr>
      <t>NG</t>
    </r>
  </si>
  <si>
    <r>
      <t>Electricity Percent Price Increase Per Year, n</t>
    </r>
    <r>
      <rPr>
        <b/>
        <vertAlign val="subscript"/>
        <sz val="12"/>
        <color theme="1"/>
        <rFont val="Calibri"/>
        <scheme val="minor"/>
      </rPr>
      <t>E</t>
    </r>
  </si>
  <si>
    <t>1 or 0.2-0.55</t>
  </si>
  <si>
    <t>Average value 0.38 when using design wind speed and design power coefficient, otherwise enter 1</t>
  </si>
  <si>
    <r>
      <t>Power Coefficient, C</t>
    </r>
    <r>
      <rPr>
        <b/>
        <vertAlign val="subscript"/>
        <sz val="12"/>
        <color theme="1"/>
        <rFont val="Calibri"/>
        <scheme val="minor"/>
      </rPr>
      <t>pa</t>
    </r>
    <r>
      <rPr>
        <b/>
        <sz val="12"/>
        <color theme="1"/>
        <rFont val="Calibri"/>
        <family val="2"/>
        <scheme val="minor"/>
      </rPr>
      <t xml:space="preserve"> or C</t>
    </r>
    <r>
      <rPr>
        <b/>
        <vertAlign val="subscript"/>
        <sz val="12"/>
        <color theme="1"/>
        <rFont val="Calibri"/>
        <scheme val="minor"/>
      </rPr>
      <t>pd</t>
    </r>
  </si>
  <si>
    <r>
      <t>Yearly Average Wind Speed, V</t>
    </r>
    <r>
      <rPr>
        <b/>
        <vertAlign val="subscript"/>
        <sz val="12"/>
        <color theme="1"/>
        <rFont val="Calibri"/>
        <scheme val="minor"/>
      </rPr>
      <t>a</t>
    </r>
    <r>
      <rPr>
        <b/>
        <sz val="12"/>
        <color theme="1"/>
        <rFont val="Calibri"/>
        <family val="2"/>
        <scheme val="minor"/>
      </rPr>
      <t xml:space="preserve"> or V</t>
    </r>
    <r>
      <rPr>
        <b/>
        <vertAlign val="subscript"/>
        <sz val="12"/>
        <color theme="1"/>
        <rFont val="Calibri"/>
        <scheme val="minor"/>
      </rPr>
      <t>d</t>
    </r>
  </si>
  <si>
    <r>
      <t>Capacity Factor, 1 or C</t>
    </r>
    <r>
      <rPr>
        <b/>
        <vertAlign val="subscript"/>
        <sz val="12"/>
        <color theme="1"/>
        <rFont val="Calibri"/>
        <scheme val="minor"/>
      </rPr>
      <t>fa</t>
    </r>
  </si>
  <si>
    <t>Monthly Wind Data</t>
  </si>
  <si>
    <t>Yearly Wind Data</t>
  </si>
  <si>
    <t>6.5-15</t>
  </si>
  <si>
    <r>
      <t>Design Wind Speed for Turbine, V</t>
    </r>
    <r>
      <rPr>
        <b/>
        <vertAlign val="subscript"/>
        <sz val="12"/>
        <color theme="1"/>
        <rFont val="Calibri"/>
        <scheme val="minor"/>
      </rPr>
      <t>d</t>
    </r>
    <r>
      <rPr>
        <b/>
        <sz val="12"/>
        <color theme="1"/>
        <rFont val="Calibri"/>
        <family val="2"/>
        <scheme val="minor"/>
      </rPr>
      <t xml:space="preserve"> (m/s)</t>
    </r>
  </si>
  <si>
    <t>Wind</t>
  </si>
  <si>
    <t>Wind and Solar</t>
  </si>
  <si>
    <r>
      <t>Design Turbine Power, P</t>
    </r>
    <r>
      <rPr>
        <b/>
        <vertAlign val="subscript"/>
        <sz val="12"/>
        <color theme="1"/>
        <rFont val="Calibri"/>
        <scheme val="minor"/>
      </rPr>
      <t>d</t>
    </r>
    <r>
      <rPr>
        <b/>
        <sz val="12"/>
        <color theme="1"/>
        <rFont val="Calibri"/>
        <family val="2"/>
        <scheme val="minor"/>
      </rPr>
      <t xml:space="preserve"> (MW)</t>
    </r>
  </si>
  <si>
    <r>
      <t>Electricity Generation, E</t>
    </r>
    <r>
      <rPr>
        <vertAlign val="subscript"/>
        <sz val="12"/>
        <color theme="1"/>
        <rFont val="Calibri"/>
        <scheme val="minor"/>
      </rPr>
      <t>w</t>
    </r>
    <r>
      <rPr>
        <sz val="12"/>
        <color theme="1"/>
        <rFont val="Calibri"/>
        <family val="2"/>
        <scheme val="minor"/>
      </rPr>
      <t xml:space="preserve"> (kWh/yr)</t>
    </r>
  </si>
  <si>
    <r>
      <t>Useful Solar Thermal Energy, Q</t>
    </r>
    <r>
      <rPr>
        <vertAlign val="subscript"/>
        <sz val="12"/>
        <color theme="1"/>
        <rFont val="Calibri"/>
        <scheme val="minor"/>
      </rPr>
      <t>u</t>
    </r>
    <r>
      <rPr>
        <sz val="12"/>
        <color theme="1"/>
        <rFont val="Calibri"/>
        <family val="2"/>
        <scheme val="minor"/>
      </rPr>
      <t xml:space="preserve"> (MJ/yr)</t>
    </r>
  </si>
  <si>
    <t>Location:</t>
  </si>
  <si>
    <t>Town, USA</t>
  </si>
  <si>
    <t>Location</t>
  </si>
  <si>
    <t>Ethanol Plant Production (million gallons per year MGY)</t>
  </si>
  <si>
    <t>1 - 120</t>
  </si>
  <si>
    <t>0.74 kWh/gal</t>
  </si>
  <si>
    <t>Ethanol Plant Inputs</t>
  </si>
  <si>
    <t>29,000 Btu/gal</t>
  </si>
  <si>
    <t>Can be obtained from specific plant data or 2008 industry average of dry-mill corn ethanol plants (0.74 kWh/gal ethanol)</t>
  </si>
  <si>
    <t>Proposed ethanol from sugar cane</t>
  </si>
  <si>
    <t>Arthur, IA</t>
  </si>
  <si>
    <t>Yearly Solar Data</t>
  </si>
  <si>
    <t>2.0 - 9.0</t>
  </si>
  <si>
    <t>5.0 - 20</t>
  </si>
  <si>
    <t>0.7 - 15</t>
  </si>
  <si>
    <t>0.5 - 0.9</t>
  </si>
  <si>
    <t>15 -100</t>
  </si>
  <si>
    <t>Cumulative Savings With Specified Natural Gas Rate Increase per Year</t>
  </si>
  <si>
    <t>Solar Savings</t>
  </si>
  <si>
    <t>Electricity Rate ($/kWh) *Present Dollars</t>
  </si>
  <si>
    <t>Cumulative Savings with Specified Electricity Rate Increase per Year</t>
  </si>
  <si>
    <t>Year After Installation</t>
  </si>
  <si>
    <t>Wind Savings</t>
  </si>
  <si>
    <t>Simple Payback Period for Current Energy Rates</t>
  </si>
  <si>
    <r>
      <t>Load Factor (L</t>
    </r>
    <r>
      <rPr>
        <b/>
        <vertAlign val="subscript"/>
        <sz val="12"/>
        <color theme="1"/>
        <rFont val="Calibri"/>
        <scheme val="minor"/>
      </rPr>
      <t>f</t>
    </r>
    <r>
      <rPr>
        <b/>
        <sz val="12"/>
        <color theme="1"/>
        <rFont val="Calibri"/>
        <family val="2"/>
        <scheme val="minor"/>
      </rPr>
      <t>)</t>
    </r>
  </si>
  <si>
    <t>≤ 1</t>
  </si>
  <si>
    <t>Solar</t>
  </si>
  <si>
    <t>Yearly Output</t>
  </si>
  <si>
    <t>Solar Energy Received on Surface of Array (MJ/yr)</t>
  </si>
  <si>
    <t>Total Solar Insolation per year (MJ/yr)</t>
  </si>
  <si>
    <t>Installed Costs</t>
  </si>
  <si>
    <t>Ethanol Plant Capacity (million gallons per year MGY)</t>
  </si>
  <si>
    <r>
      <t>Monthly Average Wind Speed at 80 m, V</t>
    </r>
    <r>
      <rPr>
        <b/>
        <vertAlign val="subscript"/>
        <sz val="12"/>
        <color theme="1"/>
        <rFont val="Calibri"/>
        <scheme val="minor"/>
      </rPr>
      <t>a</t>
    </r>
    <r>
      <rPr>
        <b/>
        <sz val="12"/>
        <color theme="1"/>
        <rFont val="Calibri"/>
        <family val="2"/>
        <scheme val="minor"/>
      </rPr>
      <t xml:space="preserve"> (m/s)</t>
    </r>
  </si>
  <si>
    <r>
      <t>Monthly Average Air Temperature At 10m Above the Surface, T</t>
    </r>
    <r>
      <rPr>
        <b/>
        <vertAlign val="subscript"/>
        <sz val="12"/>
        <color theme="1"/>
        <rFont val="Calibri"/>
        <scheme val="minor"/>
      </rPr>
      <t>a</t>
    </r>
    <r>
      <rPr>
        <b/>
        <sz val="12"/>
        <color theme="1"/>
        <rFont val="Calibri"/>
        <family val="2"/>
        <scheme val="minor"/>
      </rPr>
      <t xml:space="preserve"> (</t>
    </r>
    <r>
      <rPr>
        <b/>
        <vertAlign val="superscript"/>
        <sz val="12"/>
        <color theme="1"/>
        <rFont val="Calibri"/>
        <scheme val="minor"/>
      </rPr>
      <t>o</t>
    </r>
    <r>
      <rPr>
        <b/>
        <sz val="12"/>
        <color theme="1"/>
        <rFont val="Calibri"/>
        <family val="2"/>
        <scheme val="minor"/>
      </rPr>
      <t>C)</t>
    </r>
  </si>
  <si>
    <r>
      <t>Solar Insolation on a tilted surface, G</t>
    </r>
    <r>
      <rPr>
        <b/>
        <vertAlign val="subscript"/>
        <sz val="12"/>
        <color theme="1"/>
        <rFont val="Calibri"/>
        <scheme val="minor"/>
      </rPr>
      <t>t</t>
    </r>
    <r>
      <rPr>
        <b/>
        <sz val="12"/>
        <color theme="1"/>
        <rFont val="Calibri"/>
        <family val="2"/>
        <scheme val="minor"/>
      </rPr>
      <t xml:space="preserve"> (kWh/m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/day)</t>
    </r>
  </si>
  <si>
    <r>
      <t>Average daylight hours per day, H</t>
    </r>
    <r>
      <rPr>
        <b/>
        <vertAlign val="subscript"/>
        <sz val="12"/>
        <color theme="1"/>
        <rFont val="Calibri"/>
        <scheme val="minor"/>
      </rPr>
      <t>day</t>
    </r>
  </si>
  <si>
    <r>
      <t>Wind Turbine Capacity Factor, C</t>
    </r>
    <r>
      <rPr>
        <vertAlign val="subscript"/>
        <sz val="12"/>
        <color theme="1"/>
        <rFont val="Calibri"/>
        <scheme val="minor"/>
      </rPr>
      <t>fa</t>
    </r>
  </si>
  <si>
    <t>All values for total collector area, not aperture area</t>
  </si>
  <si>
    <r>
      <t>Aperture Area of Collector Area, A</t>
    </r>
    <r>
      <rPr>
        <b/>
        <vertAlign val="subscript"/>
        <sz val="12"/>
        <color theme="1"/>
        <rFont val="Calibri"/>
        <scheme val="minor"/>
      </rPr>
      <t>a</t>
    </r>
    <r>
      <rPr>
        <b/>
        <sz val="12"/>
        <color theme="1"/>
        <rFont val="Calibri"/>
        <family val="2"/>
        <scheme val="minor"/>
      </rPr>
      <t xml:space="preserve"> (m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</si>
  <si>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F</t>
    </r>
    <r>
      <rPr>
        <vertAlign val="subscript"/>
        <sz val="12"/>
        <color theme="1"/>
        <rFont val="Calibri"/>
        <scheme val="minor"/>
      </rPr>
      <t>R</t>
    </r>
    <r>
      <rPr>
        <sz val="12"/>
        <color theme="1"/>
        <rFont val="Calibri"/>
        <family val="2"/>
        <scheme val="minor"/>
      </rPr>
      <t>U</t>
    </r>
    <r>
      <rPr>
        <vertAlign val="subscript"/>
        <sz val="12"/>
        <color theme="1"/>
        <rFont val="Calibri"/>
        <scheme val="minor"/>
      </rPr>
      <t>L</t>
    </r>
    <r>
      <rPr>
        <sz val="12"/>
        <color theme="1"/>
        <rFont val="Calibri"/>
        <family val="2"/>
        <scheme val="minor"/>
      </rPr>
      <t xml:space="preserve"> (W/m</t>
    </r>
    <r>
      <rPr>
        <vertAlign val="superscript"/>
        <sz val="12"/>
        <color theme="1"/>
        <rFont val="Calibri"/>
        <scheme val="minor"/>
      </rPr>
      <t>2</t>
    </r>
    <r>
      <rPr>
        <sz val="12"/>
        <color theme="1"/>
        <rFont val="Calibri"/>
        <family val="2"/>
        <scheme val="minor"/>
      </rPr>
      <t>)/</t>
    </r>
    <r>
      <rPr>
        <vertAlign val="superscript"/>
        <sz val="12"/>
        <color theme="1"/>
        <rFont val="Calibri"/>
        <scheme val="minor"/>
      </rPr>
      <t>o</t>
    </r>
    <r>
      <rPr>
        <sz val="12"/>
        <color theme="1"/>
        <rFont val="Calibri"/>
        <family val="2"/>
        <scheme val="minor"/>
      </rPr>
      <t>C:</t>
    </r>
    <r>
      <rPr>
        <sz val="12"/>
        <color theme="1"/>
        <rFont val="Calibri"/>
        <family val="2"/>
        <scheme val="minor"/>
      </rPr>
      <t xml:space="preserve"> 10 - 15 for unglazed, 3.50 - 6 for glazed and 0.7 - 3 for evacuated collectors</t>
    </r>
  </si>
  <si>
    <t xml:space="preserve">Solar Insulation </t>
  </si>
  <si>
    <t>Aperture</t>
  </si>
  <si>
    <t>Solar Array Efficiency (Aperture Area)</t>
  </si>
  <si>
    <t>Solar Energy Received on Aperture Surface of Array (MJ/yr)</t>
  </si>
  <si>
    <t>Solar Array Efficiency (Gross Area)</t>
  </si>
  <si>
    <t>1 - 10</t>
  </si>
  <si>
    <t>3 - 5,000</t>
  </si>
  <si>
    <r>
      <t>60-95% A</t>
    </r>
    <r>
      <rPr>
        <vertAlign val="subscript"/>
        <sz val="12"/>
        <color theme="1"/>
        <rFont val="Calibri"/>
        <scheme val="minor"/>
      </rPr>
      <t>c</t>
    </r>
  </si>
  <si>
    <r>
      <t>Yearly Average Air Temperature, T</t>
    </r>
    <r>
      <rPr>
        <b/>
        <vertAlign val="subscript"/>
        <sz val="12"/>
        <color theme="1"/>
        <rFont val="Calibri"/>
        <scheme val="minor"/>
      </rPr>
      <t>a</t>
    </r>
    <r>
      <rPr>
        <b/>
        <sz val="12"/>
        <color theme="1"/>
        <rFont val="Calibri"/>
        <family val="2"/>
        <scheme val="minor"/>
      </rPr>
      <t xml:space="preserve"> (</t>
    </r>
    <r>
      <rPr>
        <b/>
        <vertAlign val="superscript"/>
        <sz val="12"/>
        <color theme="1"/>
        <rFont val="Calibri"/>
        <scheme val="minor"/>
      </rPr>
      <t>o</t>
    </r>
    <r>
      <rPr>
        <b/>
        <sz val="12"/>
        <color theme="1"/>
        <rFont val="Calibri"/>
        <family val="2"/>
        <scheme val="minor"/>
      </rPr>
      <t>C)</t>
    </r>
  </si>
  <si>
    <r>
      <t>Input temperature of working fluid, T</t>
    </r>
    <r>
      <rPr>
        <b/>
        <vertAlign val="subscript"/>
        <sz val="12"/>
        <color theme="1"/>
        <rFont val="Calibri"/>
        <scheme val="minor"/>
      </rPr>
      <t>i</t>
    </r>
    <r>
      <rPr>
        <b/>
        <sz val="12"/>
        <color theme="1"/>
        <rFont val="Calibri"/>
        <family val="2"/>
        <scheme val="minor"/>
      </rPr>
      <t xml:space="preserve"> (</t>
    </r>
    <r>
      <rPr>
        <b/>
        <vertAlign val="superscript"/>
        <sz val="12"/>
        <color theme="1"/>
        <rFont val="Calibri"/>
        <scheme val="minor"/>
      </rPr>
      <t>o</t>
    </r>
    <r>
      <rPr>
        <b/>
        <sz val="12"/>
        <color theme="1"/>
        <rFont val="Calibri"/>
        <family val="2"/>
        <scheme val="minor"/>
      </rPr>
      <t>C)</t>
    </r>
  </si>
  <si>
    <r>
      <t>Load Factor, L</t>
    </r>
    <r>
      <rPr>
        <b/>
        <vertAlign val="subscript"/>
        <sz val="12"/>
        <color theme="1"/>
        <rFont val="Calibri"/>
        <scheme val="minor"/>
      </rPr>
      <t>f</t>
    </r>
  </si>
  <si>
    <r>
      <t>F</t>
    </r>
    <r>
      <rPr>
        <b/>
        <vertAlign val="subscript"/>
        <sz val="12"/>
        <color theme="1"/>
        <rFont val="Calibri"/>
        <scheme val="minor"/>
      </rPr>
      <t>R</t>
    </r>
    <r>
      <rPr>
        <b/>
        <sz val="12"/>
        <color theme="1"/>
        <rFont val="Calibri"/>
        <family val="2"/>
        <scheme val="minor"/>
      </rPr>
      <t>U</t>
    </r>
    <r>
      <rPr>
        <b/>
        <vertAlign val="subscript"/>
        <sz val="12"/>
        <color theme="1"/>
        <rFont val="Calibri"/>
        <scheme val="minor"/>
      </rPr>
      <t>L</t>
    </r>
    <r>
      <rPr>
        <b/>
        <sz val="12"/>
        <color theme="1"/>
        <rFont val="Calibri"/>
        <family val="2"/>
        <scheme val="minor"/>
      </rPr>
      <t xml:space="preserve"> (W/m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-</t>
    </r>
    <r>
      <rPr>
        <b/>
        <vertAlign val="superscript"/>
        <sz val="12"/>
        <color theme="1"/>
        <rFont val="Calibri"/>
        <scheme val="minor"/>
      </rPr>
      <t>o</t>
    </r>
    <r>
      <rPr>
        <b/>
        <sz val="12"/>
        <color theme="1"/>
        <rFont val="Calibri"/>
        <family val="2"/>
        <scheme val="minor"/>
      </rPr>
      <t>C)</t>
    </r>
  </si>
  <si>
    <r>
      <t>Yearly Average Insulation, G</t>
    </r>
    <r>
      <rPr>
        <b/>
        <vertAlign val="subscript"/>
        <sz val="12"/>
        <color theme="1"/>
        <rFont val="Calibri"/>
        <scheme val="minor"/>
      </rPr>
      <t>ta</t>
    </r>
    <r>
      <rPr>
        <b/>
        <sz val="12"/>
        <color theme="1"/>
        <rFont val="Calibri"/>
        <family val="2"/>
        <scheme val="minor"/>
      </rPr>
      <t xml:space="preserve"> (kWh/day/m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</si>
  <si>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t>Solar Panel Efficiency (Aperture Area)</t>
  </si>
  <si>
    <t>Solar Panel Efficiency (Gross Area)</t>
  </si>
  <si>
    <t>Percent Shift From Natural Gas to Solar</t>
  </si>
  <si>
    <t>Percent Shift Electricity to Wind Power</t>
  </si>
  <si>
    <r>
      <t>Heating Energy Requirement, Q</t>
    </r>
    <r>
      <rPr>
        <b/>
        <vertAlign val="subscript"/>
        <sz val="12"/>
        <color theme="1"/>
        <rFont val="Calibri"/>
        <scheme val="minor"/>
      </rPr>
      <t>AE</t>
    </r>
    <r>
      <rPr>
        <b/>
        <sz val="12"/>
        <color theme="1"/>
        <rFont val="Calibri"/>
        <family val="2"/>
        <scheme val="minor"/>
      </rPr>
      <t xml:space="preserve"> (Btu/gal-ethanol)</t>
    </r>
  </si>
  <si>
    <r>
      <t>Makeup Water Energy Requirement, Q</t>
    </r>
    <r>
      <rPr>
        <b/>
        <vertAlign val="subscript"/>
        <sz val="12"/>
        <color theme="1"/>
        <rFont val="Calibri"/>
        <scheme val="minor"/>
      </rPr>
      <t>MW</t>
    </r>
    <r>
      <rPr>
        <b/>
        <sz val="12"/>
        <color theme="1"/>
        <rFont val="Calibri"/>
        <family val="2"/>
        <scheme val="minor"/>
      </rPr>
      <t xml:space="preserve"> (Btu/gal-ethanol)</t>
    </r>
  </si>
  <si>
    <t>1365 Btu/gal</t>
  </si>
  <si>
    <t>Plant Capacity (MGY)</t>
  </si>
  <si>
    <t>Percent Shift From Natural Gas to Solar (makeup water)</t>
  </si>
  <si>
    <t>$200-600</t>
  </si>
  <si>
    <r>
      <t>Current Average Price of Natural Gas for Industrial Sector, R</t>
    </r>
    <r>
      <rPr>
        <b/>
        <vertAlign val="subscript"/>
        <sz val="12"/>
        <color theme="1"/>
        <rFont val="Calibri"/>
        <scheme val="minor"/>
      </rPr>
      <t>NG</t>
    </r>
    <r>
      <rPr>
        <b/>
        <sz val="12"/>
        <color theme="1"/>
        <rFont val="Calibri"/>
        <family val="2"/>
        <scheme val="minor"/>
      </rPr>
      <t xml:space="preserve"> ($/MMBtu)</t>
    </r>
  </si>
  <si>
    <t>$4.00 - $14</t>
  </si>
  <si>
    <t>$0.05 – $0.14</t>
  </si>
  <si>
    <r>
      <t>Solar Simple Payback Period, PP</t>
    </r>
    <r>
      <rPr>
        <vertAlign val="subscript"/>
        <sz val="12"/>
        <color theme="1"/>
        <rFont val="Calibri"/>
        <scheme val="minor"/>
      </rPr>
      <t>s</t>
    </r>
    <r>
      <rPr>
        <sz val="12"/>
        <color theme="1"/>
        <rFont val="Calibri"/>
        <family val="2"/>
        <scheme val="minor"/>
      </rPr>
      <t xml:space="preserve"> (years)</t>
    </r>
  </si>
  <si>
    <r>
      <t>Wind Simple Payback Period, PP</t>
    </r>
    <r>
      <rPr>
        <vertAlign val="subscript"/>
        <sz val="12"/>
        <color theme="1"/>
        <rFont val="Calibri"/>
        <scheme val="minor"/>
      </rPr>
      <t>w</t>
    </r>
    <r>
      <rPr>
        <sz val="12"/>
        <color theme="1"/>
        <rFont val="Calibri"/>
        <family val="2"/>
        <scheme val="minor"/>
      </rPr>
      <t xml:space="preserve"> (years)</t>
    </r>
  </si>
  <si>
    <t>Solar Array Installed Cost, SC</t>
  </si>
  <si>
    <t>Wind Turbine Installed Cost, WC</t>
  </si>
  <si>
    <r>
      <t>Electricity Cost Savings, S</t>
    </r>
    <r>
      <rPr>
        <vertAlign val="subscript"/>
        <sz val="12"/>
        <color theme="1"/>
        <rFont val="Calibri"/>
        <scheme val="minor"/>
      </rPr>
      <t>E</t>
    </r>
    <r>
      <rPr>
        <sz val="12"/>
        <color theme="1"/>
        <rFont val="Calibri"/>
        <family val="2"/>
        <scheme val="minor"/>
      </rPr>
      <t xml:space="preserve"> ($/yr)</t>
    </r>
  </si>
  <si>
    <r>
      <t>Natural Gas Cost Savings, S</t>
    </r>
    <r>
      <rPr>
        <vertAlign val="subscript"/>
        <sz val="12"/>
        <color theme="1"/>
        <rFont val="Calibri"/>
        <scheme val="minor"/>
      </rPr>
      <t>NG</t>
    </r>
    <r>
      <rPr>
        <sz val="12"/>
        <color theme="1"/>
        <rFont val="Calibri"/>
        <family val="2"/>
        <scheme val="minor"/>
      </rPr>
      <t xml:space="preserve"> ($/yr)</t>
    </r>
  </si>
  <si>
    <r>
      <t>Number of Panels, N</t>
    </r>
    <r>
      <rPr>
        <b/>
        <vertAlign val="subscript"/>
        <sz val="12"/>
        <color theme="1"/>
        <rFont val="Calibri"/>
        <scheme val="minor"/>
      </rPr>
      <t>p</t>
    </r>
  </si>
  <si>
    <r>
      <t>Price per square meter, IC</t>
    </r>
    <r>
      <rPr>
        <b/>
        <vertAlign val="subscript"/>
        <sz val="12"/>
        <color theme="1"/>
        <rFont val="Calibri"/>
        <scheme val="minor"/>
      </rPr>
      <t>sc</t>
    </r>
    <r>
      <rPr>
        <b/>
        <sz val="12"/>
        <color theme="1"/>
        <rFont val="Calibri"/>
        <family val="2"/>
        <scheme val="minor"/>
      </rPr>
      <t xml:space="preserve"> ($/m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</si>
  <si>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Installed Cost of Wind Turbine, IC</t>
    </r>
    <r>
      <rPr>
        <b/>
        <vertAlign val="subscript"/>
        <sz val="12"/>
        <color theme="1"/>
        <rFont val="Calibri"/>
        <scheme val="minor"/>
      </rPr>
      <t>wt</t>
    </r>
    <r>
      <rPr>
        <b/>
        <sz val="12"/>
        <color theme="1"/>
        <rFont val="Calibri"/>
        <family val="2"/>
        <scheme val="minor"/>
      </rPr>
      <t xml:space="preserve"> ($/kW)</t>
    </r>
  </si>
  <si>
    <r>
      <t>Diameter of Turbine Blade, D</t>
    </r>
    <r>
      <rPr>
        <b/>
        <vertAlign val="subscript"/>
        <sz val="12"/>
        <color theme="1"/>
        <rFont val="Calibri"/>
        <scheme val="minor"/>
      </rPr>
      <t>R</t>
    </r>
    <r>
      <rPr>
        <b/>
        <sz val="12"/>
        <color theme="1"/>
        <rFont val="Calibri"/>
        <family val="2"/>
        <scheme val="minor"/>
      </rPr>
      <t xml:space="preserve"> (m)</t>
    </r>
  </si>
  <si>
    <r>
      <t>Useful Solar thermal Energy, Q</t>
    </r>
    <r>
      <rPr>
        <vertAlign val="subscript"/>
        <sz val="12"/>
        <color theme="1"/>
        <rFont val="Calibri"/>
        <scheme val="minor"/>
      </rPr>
      <t>ut</t>
    </r>
    <r>
      <rPr>
        <sz val="12"/>
        <color theme="1"/>
        <rFont val="Calibri"/>
        <family val="2"/>
        <scheme val="minor"/>
      </rPr>
      <t xml:space="preserve"> (MMBtu/yr)</t>
    </r>
  </si>
  <si>
    <t>0 for stable price, 3% for very large rate increase;</t>
  </si>
  <si>
    <t>0 for stable price, 5% for very large rate increase;</t>
  </si>
  <si>
    <t>Design Turbine Power (kW)</t>
  </si>
  <si>
    <t>800-5,000</t>
  </si>
  <si>
    <r>
      <t>Theoretical Electricity Generation, E</t>
    </r>
    <r>
      <rPr>
        <b/>
        <vertAlign val="subscript"/>
        <sz val="12"/>
        <color theme="1"/>
        <rFont val="Calibri"/>
        <scheme val="minor"/>
      </rPr>
      <t>wt</t>
    </r>
    <r>
      <rPr>
        <b/>
        <sz val="12"/>
        <color theme="1"/>
        <rFont val="Calibri"/>
        <family val="2"/>
        <scheme val="minor"/>
      </rPr>
      <t xml:space="preserve"> (kWh/yr)</t>
    </r>
  </si>
  <si>
    <r>
      <t>Design Turbine Power, P</t>
    </r>
    <r>
      <rPr>
        <b/>
        <vertAlign val="subscript"/>
        <sz val="12"/>
        <color theme="1"/>
        <rFont val="Calibri"/>
        <scheme val="minor"/>
      </rPr>
      <t>d</t>
    </r>
    <r>
      <rPr>
        <b/>
        <sz val="12"/>
        <color theme="1"/>
        <rFont val="Calibri"/>
        <family val="2"/>
        <scheme val="minor"/>
      </rPr>
      <t xml:space="preserve"> (MW) using inputs (C</t>
    </r>
    <r>
      <rPr>
        <b/>
        <vertAlign val="subscript"/>
        <sz val="12"/>
        <color theme="1"/>
        <rFont val="Calibri"/>
        <scheme val="minor"/>
      </rPr>
      <t>p</t>
    </r>
    <r>
      <rPr>
        <b/>
        <sz val="12"/>
        <color theme="1"/>
        <rFont val="Calibri"/>
        <family val="2"/>
        <scheme val="minor"/>
      </rPr>
      <t xml:space="preserve"> and C</t>
    </r>
    <r>
      <rPr>
        <b/>
        <vertAlign val="subscript"/>
        <sz val="12"/>
        <color theme="1"/>
        <rFont val="Calibri"/>
        <scheme val="minor"/>
      </rPr>
      <t>f</t>
    </r>
    <r>
      <rPr>
        <b/>
        <sz val="12"/>
        <color theme="1"/>
        <rFont val="Calibri"/>
        <family val="2"/>
        <scheme val="minor"/>
      </rPr>
      <t>)</t>
    </r>
  </si>
  <si>
    <r>
      <t>Theoretical Electricity Generation, E</t>
    </r>
    <r>
      <rPr>
        <b/>
        <vertAlign val="subscript"/>
        <sz val="12"/>
        <rFont val="Calibri"/>
        <scheme val="minor"/>
      </rPr>
      <t>wt</t>
    </r>
    <r>
      <rPr>
        <b/>
        <sz val="12"/>
        <rFont val="Calibri"/>
        <scheme val="minor"/>
      </rPr>
      <t xml:space="preserve"> (kWh/yr) using inputs (C</t>
    </r>
    <r>
      <rPr>
        <b/>
        <vertAlign val="subscript"/>
        <sz val="12"/>
        <rFont val="Calibri"/>
        <scheme val="minor"/>
      </rPr>
      <t>p</t>
    </r>
    <r>
      <rPr>
        <b/>
        <sz val="12"/>
        <rFont val="Calibri"/>
        <scheme val="minor"/>
      </rPr>
      <t xml:space="preserve"> and C</t>
    </r>
    <r>
      <rPr>
        <b/>
        <vertAlign val="subscript"/>
        <sz val="12"/>
        <rFont val="Calibri"/>
        <scheme val="minor"/>
      </rPr>
      <t>f</t>
    </r>
    <r>
      <rPr>
        <b/>
        <sz val="12"/>
        <rFont val="Calibri"/>
        <scheme val="minor"/>
      </rPr>
      <t>)</t>
    </r>
  </si>
  <si>
    <t>$2,000/kW</t>
  </si>
  <si>
    <t>Electricity Requirement (kWh/gal-ethanol)</t>
  </si>
  <si>
    <r>
      <t xml:space="preserve"> Average Price of Electricity, R</t>
    </r>
    <r>
      <rPr>
        <b/>
        <vertAlign val="subscript"/>
        <sz val="12"/>
        <color theme="1"/>
        <rFont val="Calibri"/>
        <scheme val="minor"/>
      </rPr>
      <t>E</t>
    </r>
    <r>
      <rPr>
        <b/>
        <sz val="12"/>
        <color theme="1"/>
        <rFont val="Calibri"/>
        <family val="2"/>
        <scheme val="minor"/>
      </rPr>
      <t xml:space="preserve"> ($/kWh)</t>
    </r>
  </si>
  <si>
    <r>
      <t>Total Area of Each Collector, A</t>
    </r>
    <r>
      <rPr>
        <b/>
        <vertAlign val="subscript"/>
        <sz val="12"/>
        <color theme="1"/>
        <rFont val="Calibri"/>
        <scheme val="minor"/>
      </rPr>
      <t>c</t>
    </r>
    <r>
      <rPr>
        <b/>
        <sz val="12"/>
        <color theme="1"/>
        <rFont val="Calibri"/>
        <family val="2"/>
        <scheme val="minor"/>
      </rPr>
      <t xml:space="preserve"> (m</t>
    </r>
    <r>
      <rPr>
        <b/>
        <vertAlign val="superscript"/>
        <sz val="12"/>
        <color theme="1"/>
        <rFont val="Calibri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</si>
  <si>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t>Cold weather climates will have a load factor less than 1 because the system will shut down or drain back when the collectors are not producing enough heat.  Areas with very consistent temperature and solar insolation will have a high load factor.</t>
  </si>
  <si>
    <r>
      <t>FR(τα)</t>
    </r>
    <r>
      <rPr>
        <vertAlign val="subscript"/>
        <sz val="12"/>
        <color theme="1"/>
        <rFont val="Calibri"/>
        <scheme val="minor"/>
      </rPr>
      <t>n</t>
    </r>
    <r>
      <rPr>
        <sz val="12"/>
        <color theme="1"/>
        <rFont val="Calibri"/>
        <family val="2"/>
        <scheme val="minor"/>
      </rPr>
      <t xml:space="preserve"> : ( Low range for evacuated tube, middle range for glazed and high range for unglazed collectors)</t>
    </r>
  </si>
  <si>
    <t>City, USA</t>
  </si>
  <si>
    <t>Typical 3 blade turbines with near design wind speeds, 0.35-0.57</t>
  </si>
  <si>
    <t>Can be obtained from Kumar's Model of Energy Usage of Corn Ethanol Plants, specific plant data, or 2008 industry average for plants using natural gas HHV (29,000 Btu/gal ethanol)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</si>
</sst>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_(* #,##0_);_(* \(#,##0\);_(* &quot;-&quot;??_);_(@_)"/>
    <numFmt numFmtId="167" formatCode="_(&quot;$&quot;* #,##0_);_(&quot;$&quot;* \(#,##0\);_(&quot;$&quot;* &quot;-&quot;??_);_(@_)"/>
    <numFmt numFmtId="168" formatCode="&quot;$&quot;#,##0"/>
    <numFmt numFmtId="169" formatCode="0.000"/>
    <numFmt numFmtId="170" formatCode="0.0%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perscript"/>
      <sz val="12"/>
      <color theme="1"/>
      <name val="Calibri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6"/>
      <color theme="1"/>
      <name val="Calibri"/>
      <scheme val="minor"/>
    </font>
    <font>
      <b/>
      <vertAlign val="superscript"/>
      <sz val="12"/>
      <color theme="1"/>
      <name val="Calibri"/>
      <scheme val="minor"/>
    </font>
    <font>
      <b/>
      <sz val="20"/>
      <color theme="1"/>
      <name val="Calibri"/>
      <scheme val="minor"/>
    </font>
    <font>
      <sz val="12"/>
      <color rgb="FF000000"/>
      <name val="Calibri"/>
      <family val="2"/>
      <scheme val="minor"/>
    </font>
    <font>
      <b/>
      <vertAlign val="subscript"/>
      <sz val="12"/>
      <color theme="1"/>
      <name val="Calibri"/>
      <scheme val="minor"/>
    </font>
    <font>
      <vertAlign val="subscript"/>
      <sz val="12"/>
      <color theme="1"/>
      <name val="Calibri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scheme val="minor"/>
    </font>
    <font>
      <b/>
      <vertAlign val="subscript"/>
      <sz val="12"/>
      <name val="Calibri"/>
      <scheme val="minor"/>
    </font>
    <font>
      <b/>
      <sz val="14"/>
      <color theme="1"/>
      <name val="Calibri"/>
      <scheme val="minor"/>
    </font>
    <font>
      <b/>
      <sz val="16"/>
      <name val="Calibri"/>
      <scheme val="minor"/>
    </font>
    <font>
      <sz val="12"/>
      <color rgb="FF000000"/>
      <name val="Calibri"/>
    </font>
  </fonts>
  <fills count="1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96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95">
    <xf numFmtId="0" fontId="0" fillId="0" borderId="0" xfId="0"/>
    <xf numFmtId="0" fontId="0" fillId="0" borderId="0" xfId="0" applyAlignment="1">
      <alignment wrapText="1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/>
    </xf>
    <xf numFmtId="0" fontId="0" fillId="6" borderId="0" xfId="0" applyFill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7" borderId="1" xfId="0" applyFont="1" applyFill="1" applyBorder="1" applyAlignment="1">
      <alignment horizontal="center" vertical="center" wrapText="1"/>
    </xf>
    <xf numFmtId="166" fontId="0" fillId="7" borderId="1" xfId="0" applyNumberFormat="1" applyFill="1" applyBorder="1"/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66" fontId="0" fillId="4" borderId="1" xfId="23" applyNumberFormat="1" applyFont="1" applyFill="1" applyBorder="1" applyAlignment="1">
      <alignment horizontal="center" vertical="center"/>
    </xf>
    <xf numFmtId="166" fontId="0" fillId="7" borderId="1" xfId="0" applyNumberFormat="1" applyFill="1" applyBorder="1" applyAlignment="1">
      <alignment horizontal="center" vertical="center"/>
    </xf>
    <xf numFmtId="0" fontId="4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166" fontId="0" fillId="7" borderId="1" xfId="0" applyNumberFormat="1" applyFont="1" applyFill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66" fontId="0" fillId="7" borderId="1" xfId="0" applyNumberFormat="1" applyFont="1" applyFill="1" applyBorder="1" applyAlignment="1">
      <alignment horizontal="center" vertical="center"/>
    </xf>
    <xf numFmtId="164" fontId="0" fillId="2" borderId="1" xfId="0" applyNumberFormat="1" applyFont="1" applyFill="1" applyBorder="1" applyAlignment="1">
      <alignment horizontal="center" vertical="center"/>
    </xf>
    <xf numFmtId="165" fontId="0" fillId="4" borderId="1" xfId="0" applyNumberFormat="1" applyFill="1" applyBorder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3" borderId="1" xfId="0" applyFill="1" applyBorder="1" applyAlignment="1">
      <alignment horizontal="center" vertical="center" wrapText="1"/>
    </xf>
    <xf numFmtId="167" fontId="0" fillId="4" borderId="1" xfId="0" applyNumberFormat="1" applyFill="1" applyBorder="1"/>
    <xf numFmtId="0" fontId="0" fillId="0" borderId="0" xfId="0" applyAlignment="1">
      <alignment horizontal="center"/>
    </xf>
    <xf numFmtId="0" fontId="5" fillId="0" borderId="0" xfId="0" applyFont="1" applyFill="1"/>
    <xf numFmtId="166" fontId="0" fillId="11" borderId="1" xfId="23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0" fillId="4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0" fillId="0" borderId="1" xfId="0" applyFill="1" applyBorder="1"/>
    <xf numFmtId="169" fontId="0" fillId="4" borderId="1" xfId="0" applyNumberFormat="1" applyFill="1" applyBorder="1"/>
    <xf numFmtId="166" fontId="5" fillId="4" borderId="1" xfId="23" applyNumberFormat="1" applyFont="1" applyFill="1" applyBorder="1"/>
    <xf numFmtId="0" fontId="0" fillId="9" borderId="0" xfId="0" applyFill="1" applyAlignment="1">
      <alignment horizontal="center" vertical="center"/>
    </xf>
    <xf numFmtId="166" fontId="0" fillId="11" borderId="1" xfId="0" applyNumberFormat="1" applyFill="1" applyBorder="1" applyAlignment="1">
      <alignment horizontal="center" vertical="center"/>
    </xf>
    <xf numFmtId="168" fontId="0" fillId="4" borderId="1" xfId="0" applyNumberFormat="1" applyFill="1" applyBorder="1" applyAlignment="1">
      <alignment horizontal="center" vertical="center"/>
    </xf>
    <xf numFmtId="168" fontId="0" fillId="11" borderId="1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9" fontId="0" fillId="11" borderId="1" xfId="177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14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10" borderId="1" xfId="0" applyFill="1" applyBorder="1" applyAlignment="1">
      <alignment wrapText="1"/>
    </xf>
    <xf numFmtId="0" fontId="3" fillId="0" borderId="0" xfId="0" applyFont="1" applyFill="1"/>
    <xf numFmtId="0" fontId="5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167" fontId="0" fillId="11" borderId="1" xfId="0" applyNumberFormat="1" applyFill="1" applyBorder="1"/>
    <xf numFmtId="16" fontId="0" fillId="0" borderId="1" xfId="0" applyNumberFormat="1" applyBorder="1" applyAlignment="1">
      <alignment horizontal="center" vertical="center"/>
    </xf>
    <xf numFmtId="0" fontId="0" fillId="5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166" fontId="5" fillId="4" borderId="1" xfId="23" applyNumberFormat="1" applyFont="1" applyFill="1" applyBorder="1" applyAlignment="1">
      <alignment horizontal="center" vertical="center"/>
    </xf>
    <xf numFmtId="2" fontId="0" fillId="2" borderId="1" xfId="0" applyNumberFormat="1" applyFont="1" applyFill="1" applyBorder="1"/>
    <xf numFmtId="43" fontId="0" fillId="3" borderId="1" xfId="0" applyNumberFormat="1" applyFill="1" applyBorder="1"/>
    <xf numFmtId="0" fontId="0" fillId="3" borderId="1" xfId="0" applyFill="1" applyBorder="1"/>
    <xf numFmtId="169" fontId="0" fillId="3" borderId="1" xfId="0" applyNumberFormat="1" applyFill="1" applyBorder="1"/>
    <xf numFmtId="0" fontId="0" fillId="13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170" fontId="0" fillId="11" borderId="1" xfId="177" applyNumberFormat="1" applyFont="1" applyFill="1" applyBorder="1" applyAlignment="1">
      <alignment horizontal="center" vertical="center"/>
    </xf>
    <xf numFmtId="10" fontId="0" fillId="4" borderId="1" xfId="177" applyNumberFormat="1" applyFont="1" applyFill="1" applyBorder="1" applyAlignment="1">
      <alignment horizontal="center" vertical="center"/>
    </xf>
    <xf numFmtId="0" fontId="0" fillId="13" borderId="1" xfId="0" applyFill="1" applyBorder="1"/>
    <xf numFmtId="0" fontId="0" fillId="15" borderId="1" xfId="0" applyFill="1" applyBorder="1"/>
    <xf numFmtId="0" fontId="0" fillId="0" borderId="0" xfId="0" applyNumberFormat="1"/>
    <xf numFmtId="168" fontId="0" fillId="4" borderId="1" xfId="0" applyNumberFormat="1" applyFill="1" applyBorder="1"/>
    <xf numFmtId="168" fontId="0" fillId="11" borderId="1" xfId="0" applyNumberFormat="1" applyFill="1" applyBorder="1"/>
    <xf numFmtId="0" fontId="0" fillId="7" borderId="5" xfId="0" applyFill="1" applyBorder="1" applyAlignment="1">
      <alignment wrapText="1"/>
    </xf>
    <xf numFmtId="167" fontId="3" fillId="4" borderId="1" xfId="24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2" fontId="0" fillId="5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0" borderId="1" xfId="0" applyFill="1" applyBorder="1"/>
    <xf numFmtId="0" fontId="0" fillId="7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10" fontId="0" fillId="11" borderId="1" xfId="177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66" fontId="15" fillId="0" borderId="0" xfId="23" applyNumberFormat="1" applyFont="1" applyFill="1" applyBorder="1"/>
    <xf numFmtId="9" fontId="0" fillId="4" borderId="1" xfId="177" applyFont="1" applyFill="1" applyBorder="1" applyAlignment="1">
      <alignment horizontal="center" vertical="center"/>
    </xf>
    <xf numFmtId="166" fontId="0" fillId="4" borderId="1" xfId="23" applyNumberFormat="1" applyFont="1" applyFill="1" applyBorder="1"/>
    <xf numFmtId="166" fontId="0" fillId="0" borderId="0" xfId="23" applyNumberFormat="1" applyFont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4" fillId="13" borderId="1" xfId="0" applyFont="1" applyFill="1" applyBorder="1" applyAlignment="1">
      <alignment horizontal="center" vertical="center"/>
    </xf>
    <xf numFmtId="0" fontId="14" fillId="15" borderId="1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0" fontId="18" fillId="0" borderId="0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15" borderId="1" xfId="0" applyFont="1" applyFill="1" applyBorder="1" applyAlignment="1">
      <alignment horizontal="center" wrapText="1"/>
    </xf>
    <xf numFmtId="0" fontId="3" fillId="15" borderId="1" xfId="0" applyFont="1" applyFill="1" applyBorder="1"/>
    <xf numFmtId="0" fontId="3" fillId="15" borderId="1" xfId="0" applyFont="1" applyFill="1" applyBorder="1" applyAlignment="1">
      <alignment wrapText="1"/>
    </xf>
    <xf numFmtId="0" fontId="3" fillId="13" borderId="1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11" fillId="15" borderId="1" xfId="0" applyFont="1" applyFill="1" applyBorder="1"/>
    <xf numFmtId="166" fontId="0" fillId="0" borderId="1" xfId="23" applyNumberFormat="1" applyFont="1" applyFill="1" applyBorder="1"/>
    <xf numFmtId="0" fontId="11" fillId="0" borderId="1" xfId="0" applyFont="1" applyFill="1" applyBorder="1"/>
    <xf numFmtId="0" fontId="0" fillId="4" borderId="5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wrapText="1"/>
    </xf>
    <xf numFmtId="49" fontId="0" fillId="0" borderId="1" xfId="0" applyNumberFormat="1" applyFont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3" fontId="0" fillId="0" borderId="1" xfId="0" applyNumberForma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9" fontId="0" fillId="4" borderId="1" xfId="177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66" fontId="0" fillId="0" borderId="0" xfId="0" applyNumberFormat="1"/>
    <xf numFmtId="170" fontId="0" fillId="4" borderId="1" xfId="177" applyNumberFormat="1" applyFont="1" applyFill="1" applyBorder="1" applyAlignment="1">
      <alignment horizontal="center" vertical="center"/>
    </xf>
    <xf numFmtId="9" fontId="0" fillId="0" borderId="0" xfId="0" applyNumberFormat="1"/>
    <xf numFmtId="0" fontId="3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0" fillId="4" borderId="1" xfId="0" applyFont="1" applyFill="1" applyBorder="1"/>
    <xf numFmtId="0" fontId="3" fillId="7" borderId="1" xfId="0" applyFont="1" applyFill="1" applyBorder="1" applyAlignment="1">
      <alignment horizontal="center" wrapText="1"/>
    </xf>
    <xf numFmtId="0" fontId="15" fillId="7" borderId="1" xfId="0" applyFont="1" applyFill="1" applyBorder="1" applyAlignment="1">
      <alignment horizontal="center" wrapText="1"/>
    </xf>
    <xf numFmtId="0" fontId="10" fillId="5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14" borderId="1" xfId="0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0" fillId="0" borderId="4" xfId="0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0" fontId="0" fillId="0" borderId="4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1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3" fillId="14" borderId="1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1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</cellXfs>
  <cellStyles count="1096">
    <cellStyle name="Comma" xfId="23" builtinId="3"/>
    <cellStyle name="Currency" xfId="24" builtinId="4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Followed Hyperlink" xfId="421" builtinId="9" hidden="1"/>
    <cellStyle name="Followed Hyperlink" xfId="423" builtinId="9" hidden="1"/>
    <cellStyle name="Followed Hyperlink" xfId="425" builtinId="9" hidden="1"/>
    <cellStyle name="Followed Hyperlink" xfId="427" builtinId="9" hidden="1"/>
    <cellStyle name="Followed Hyperlink" xfId="429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Followed Hyperlink" xfId="455" builtinId="9" hidden="1"/>
    <cellStyle name="Followed Hyperlink" xfId="457" builtinId="9" hidden="1"/>
    <cellStyle name="Followed Hyperlink" xfId="459" builtinId="9" hidden="1"/>
    <cellStyle name="Followed Hyperlink" xfId="461" builtinId="9" hidden="1"/>
    <cellStyle name="Followed Hyperlink" xfId="463" builtinId="9" hidden="1"/>
    <cellStyle name="Followed Hyperlink" xfId="465" builtinId="9" hidden="1"/>
    <cellStyle name="Followed Hyperlink" xfId="467" builtinId="9" hidden="1"/>
    <cellStyle name="Followed Hyperlink" xfId="469" builtinId="9" hidden="1"/>
    <cellStyle name="Followed Hyperlink" xfId="471" builtinId="9" hidden="1"/>
    <cellStyle name="Followed Hyperlink" xfId="473" builtinId="9" hidden="1"/>
    <cellStyle name="Followed Hyperlink" xfId="475" builtinId="9" hidden="1"/>
    <cellStyle name="Followed Hyperlink" xfId="477" builtinId="9" hidden="1"/>
    <cellStyle name="Followed Hyperlink" xfId="479" builtinId="9" hidden="1"/>
    <cellStyle name="Followed Hyperlink" xfId="481" builtinId="9" hidden="1"/>
    <cellStyle name="Followed Hyperlink" xfId="483" builtinId="9" hidden="1"/>
    <cellStyle name="Followed Hyperlink" xfId="485" builtinId="9" hidden="1"/>
    <cellStyle name="Followed Hyperlink" xfId="487" builtinId="9" hidden="1"/>
    <cellStyle name="Followed Hyperlink" xfId="489" builtinId="9" hidden="1"/>
    <cellStyle name="Followed Hyperlink" xfId="491" builtinId="9" hidden="1"/>
    <cellStyle name="Followed Hyperlink" xfId="493" builtinId="9" hidden="1"/>
    <cellStyle name="Followed Hyperlink" xfId="495" builtinId="9" hidden="1"/>
    <cellStyle name="Followed Hyperlink" xfId="497" builtinId="9" hidden="1"/>
    <cellStyle name="Followed Hyperlink" xfId="499" builtinId="9" hidden="1"/>
    <cellStyle name="Followed Hyperlink" xfId="501" builtinId="9" hidden="1"/>
    <cellStyle name="Followed Hyperlink" xfId="503" builtinId="9" hidden="1"/>
    <cellStyle name="Followed Hyperlink" xfId="505" builtinId="9" hidden="1"/>
    <cellStyle name="Followed Hyperlink" xfId="507" builtinId="9" hidden="1"/>
    <cellStyle name="Followed Hyperlink" xfId="509" builtinId="9" hidden="1"/>
    <cellStyle name="Followed Hyperlink" xfId="511" builtinId="9" hidden="1"/>
    <cellStyle name="Followed Hyperlink" xfId="513" builtinId="9" hidden="1"/>
    <cellStyle name="Followed Hyperlink" xfId="515" builtinId="9" hidden="1"/>
    <cellStyle name="Followed Hyperlink" xfId="517" builtinId="9" hidden="1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Followed Hyperlink" xfId="543" builtinId="9" hidden="1"/>
    <cellStyle name="Followed Hyperlink" xfId="545" builtinId="9" hidden="1"/>
    <cellStyle name="Followed Hyperlink" xfId="547" builtinId="9" hidden="1"/>
    <cellStyle name="Followed Hyperlink" xfId="549" builtinId="9" hidden="1"/>
    <cellStyle name="Followed Hyperlink" xfId="551" builtinId="9" hidden="1"/>
    <cellStyle name="Followed Hyperlink" xfId="553" builtinId="9" hidden="1"/>
    <cellStyle name="Followed Hyperlink" xfId="555" builtinId="9" hidden="1"/>
    <cellStyle name="Followed Hyperlink" xfId="557" builtinId="9" hidden="1"/>
    <cellStyle name="Followed Hyperlink" xfId="559" builtinId="9" hidden="1"/>
    <cellStyle name="Followed Hyperlink" xfId="561" builtinId="9" hidden="1"/>
    <cellStyle name="Followed Hyperlink" xfId="563" builtinId="9" hidden="1"/>
    <cellStyle name="Followed Hyperlink" xfId="565" builtinId="9" hidden="1"/>
    <cellStyle name="Followed Hyperlink" xfId="567" builtinId="9" hidden="1"/>
    <cellStyle name="Followed Hyperlink" xfId="569" builtinId="9" hidden="1"/>
    <cellStyle name="Followed Hyperlink" xfId="571" builtinId="9" hidden="1"/>
    <cellStyle name="Followed Hyperlink" xfId="573" builtinId="9" hidden="1"/>
    <cellStyle name="Followed Hyperlink" xfId="575" builtinId="9" hidden="1"/>
    <cellStyle name="Followed Hyperlink" xfId="577" builtinId="9" hidden="1"/>
    <cellStyle name="Followed Hyperlink" xfId="579" builtinId="9" hidden="1"/>
    <cellStyle name="Followed Hyperlink" xfId="581" builtinId="9" hidden="1"/>
    <cellStyle name="Followed Hyperlink" xfId="583" builtinId="9" hidden="1"/>
    <cellStyle name="Followed Hyperlink" xfId="585" builtinId="9" hidden="1"/>
    <cellStyle name="Followed Hyperlink" xfId="587" builtinId="9" hidden="1"/>
    <cellStyle name="Followed Hyperlink" xfId="589" builtinId="9" hidden="1"/>
    <cellStyle name="Followed Hyperlink" xfId="591" builtinId="9" hidden="1"/>
    <cellStyle name="Followed Hyperlink" xfId="593" builtinId="9" hidden="1"/>
    <cellStyle name="Followed Hyperlink" xfId="595" builtinId="9" hidden="1"/>
    <cellStyle name="Followed Hyperlink" xfId="597" builtinId="9" hidden="1"/>
    <cellStyle name="Followed Hyperlink" xfId="599" builtinId="9" hidden="1"/>
    <cellStyle name="Followed Hyperlink" xfId="601" builtinId="9" hidden="1"/>
    <cellStyle name="Followed Hyperlink" xfId="603" builtinId="9" hidden="1"/>
    <cellStyle name="Followed Hyperlink" xfId="605" builtinId="9" hidden="1"/>
    <cellStyle name="Followed Hyperlink" xfId="607" builtinId="9" hidden="1"/>
    <cellStyle name="Followed Hyperlink" xfId="609" builtinId="9" hidden="1"/>
    <cellStyle name="Followed Hyperlink" xfId="611" builtinId="9" hidden="1"/>
    <cellStyle name="Followed Hyperlink" xfId="613" builtinId="9" hidden="1"/>
    <cellStyle name="Followed Hyperlink" xfId="615" builtinId="9" hidden="1"/>
    <cellStyle name="Followed Hyperlink" xfId="617" builtinId="9" hidden="1"/>
    <cellStyle name="Followed Hyperlink" xfId="619" builtinId="9" hidden="1"/>
    <cellStyle name="Followed Hyperlink" xfId="621" builtinId="9" hidden="1"/>
    <cellStyle name="Followed Hyperlink" xfId="623" builtinId="9" hidden="1"/>
    <cellStyle name="Followed Hyperlink" xfId="625" builtinId="9" hidden="1"/>
    <cellStyle name="Followed Hyperlink" xfId="627" builtinId="9" hidden="1"/>
    <cellStyle name="Followed Hyperlink" xfId="629" builtinId="9" hidden="1"/>
    <cellStyle name="Followed Hyperlink" xfId="631" builtinId="9" hidden="1"/>
    <cellStyle name="Followed Hyperlink" xfId="633" builtinId="9" hidden="1"/>
    <cellStyle name="Followed Hyperlink" xfId="635" builtinId="9" hidden="1"/>
    <cellStyle name="Followed Hyperlink" xfId="637" builtinId="9" hidden="1"/>
    <cellStyle name="Followed Hyperlink" xfId="639" builtinId="9" hidden="1"/>
    <cellStyle name="Followed Hyperlink" xfId="641" builtinId="9" hidden="1"/>
    <cellStyle name="Followed Hyperlink" xfId="643" builtinId="9" hidden="1"/>
    <cellStyle name="Followed Hyperlink" xfId="645" builtinId="9" hidden="1"/>
    <cellStyle name="Followed Hyperlink" xfId="647" builtinId="9" hidden="1"/>
    <cellStyle name="Followed Hyperlink" xfId="649" builtinId="9" hidden="1"/>
    <cellStyle name="Followed Hyperlink" xfId="651" builtinId="9" hidden="1"/>
    <cellStyle name="Followed Hyperlink" xfId="653" builtinId="9" hidden="1"/>
    <cellStyle name="Followed Hyperlink" xfId="655" builtinId="9" hidden="1"/>
    <cellStyle name="Followed Hyperlink" xfId="657" builtinId="9" hidden="1"/>
    <cellStyle name="Followed Hyperlink" xfId="659" builtinId="9" hidden="1"/>
    <cellStyle name="Followed Hyperlink" xfId="661" builtinId="9" hidden="1"/>
    <cellStyle name="Followed Hyperlink" xfId="663" builtinId="9" hidden="1"/>
    <cellStyle name="Followed Hyperlink" xfId="665" builtinId="9" hidden="1"/>
    <cellStyle name="Followed Hyperlink" xfId="667" builtinId="9" hidden="1"/>
    <cellStyle name="Followed Hyperlink" xfId="669" builtinId="9" hidden="1"/>
    <cellStyle name="Followed Hyperlink" xfId="671" builtinId="9" hidden="1"/>
    <cellStyle name="Followed Hyperlink" xfId="673" builtinId="9" hidden="1"/>
    <cellStyle name="Followed Hyperlink" xfId="675" builtinId="9" hidden="1"/>
    <cellStyle name="Followed Hyperlink" xfId="677" builtinId="9" hidden="1"/>
    <cellStyle name="Followed Hyperlink" xfId="679" builtinId="9" hidden="1"/>
    <cellStyle name="Followed Hyperlink" xfId="681" builtinId="9" hidden="1"/>
    <cellStyle name="Followed Hyperlink" xfId="683" builtinId="9" hidden="1"/>
    <cellStyle name="Followed Hyperlink" xfId="685" builtinId="9" hidden="1"/>
    <cellStyle name="Followed Hyperlink" xfId="687" builtinId="9" hidden="1"/>
    <cellStyle name="Followed Hyperlink" xfId="689" builtinId="9" hidden="1"/>
    <cellStyle name="Followed Hyperlink" xfId="691" builtinId="9" hidden="1"/>
    <cellStyle name="Followed Hyperlink" xfId="693" builtinId="9" hidden="1"/>
    <cellStyle name="Followed Hyperlink" xfId="695" builtinId="9" hidden="1"/>
    <cellStyle name="Followed Hyperlink" xfId="697" builtinId="9" hidden="1"/>
    <cellStyle name="Followed Hyperlink" xfId="699" builtinId="9" hidden="1"/>
    <cellStyle name="Followed Hyperlink" xfId="701" builtinId="9" hidden="1"/>
    <cellStyle name="Followed Hyperlink" xfId="703" builtinId="9" hidden="1"/>
    <cellStyle name="Followed Hyperlink" xfId="705" builtinId="9" hidden="1"/>
    <cellStyle name="Followed Hyperlink" xfId="707" builtinId="9" hidden="1"/>
    <cellStyle name="Followed Hyperlink" xfId="709" builtinId="9" hidden="1"/>
    <cellStyle name="Followed Hyperlink" xfId="711" builtinId="9" hidden="1"/>
    <cellStyle name="Followed Hyperlink" xfId="713" builtinId="9" hidden="1"/>
    <cellStyle name="Followed Hyperlink" xfId="715" builtinId="9" hidden="1"/>
    <cellStyle name="Followed Hyperlink" xfId="717" builtinId="9" hidden="1"/>
    <cellStyle name="Followed Hyperlink" xfId="719" builtinId="9" hidden="1"/>
    <cellStyle name="Followed Hyperlink" xfId="721" builtinId="9" hidden="1"/>
    <cellStyle name="Followed Hyperlink" xfId="723" builtinId="9" hidden="1"/>
    <cellStyle name="Followed Hyperlink" xfId="725" builtinId="9" hidden="1"/>
    <cellStyle name="Followed Hyperlink" xfId="727" builtinId="9" hidden="1"/>
    <cellStyle name="Followed Hyperlink" xfId="729" builtinId="9" hidden="1"/>
    <cellStyle name="Followed Hyperlink" xfId="731" builtinId="9" hidden="1"/>
    <cellStyle name="Followed Hyperlink" xfId="733" builtinId="9" hidden="1"/>
    <cellStyle name="Followed Hyperlink" xfId="735" builtinId="9" hidden="1"/>
    <cellStyle name="Followed Hyperlink" xfId="737" builtinId="9" hidden="1"/>
    <cellStyle name="Followed Hyperlink" xfId="739" builtinId="9" hidden="1"/>
    <cellStyle name="Followed Hyperlink" xfId="741" builtinId="9" hidden="1"/>
    <cellStyle name="Followed Hyperlink" xfId="743" builtinId="9" hidden="1"/>
    <cellStyle name="Followed Hyperlink" xfId="745" builtinId="9" hidden="1"/>
    <cellStyle name="Followed Hyperlink" xfId="747" builtinId="9" hidden="1"/>
    <cellStyle name="Followed Hyperlink" xfId="749" builtinId="9" hidden="1"/>
    <cellStyle name="Followed Hyperlink" xfId="751" builtinId="9" hidden="1"/>
    <cellStyle name="Followed Hyperlink" xfId="753" builtinId="9" hidden="1"/>
    <cellStyle name="Followed Hyperlink" xfId="755" builtinId="9" hidden="1"/>
    <cellStyle name="Followed Hyperlink" xfId="757" builtinId="9" hidden="1"/>
    <cellStyle name="Followed Hyperlink" xfId="759" builtinId="9" hidden="1"/>
    <cellStyle name="Followed Hyperlink" xfId="761" builtinId="9" hidden="1"/>
    <cellStyle name="Followed Hyperlink" xfId="763" builtinId="9" hidden="1"/>
    <cellStyle name="Followed Hyperlink" xfId="765" builtinId="9" hidden="1"/>
    <cellStyle name="Followed Hyperlink" xfId="767" builtinId="9" hidden="1"/>
    <cellStyle name="Followed Hyperlink" xfId="769" builtinId="9" hidden="1"/>
    <cellStyle name="Followed Hyperlink" xfId="771" builtinId="9" hidden="1"/>
    <cellStyle name="Followed Hyperlink" xfId="773" builtinId="9" hidden="1"/>
    <cellStyle name="Followed Hyperlink" xfId="775" builtinId="9" hidden="1"/>
    <cellStyle name="Followed Hyperlink" xfId="777" builtinId="9" hidden="1"/>
    <cellStyle name="Followed Hyperlink" xfId="779" builtinId="9" hidden="1"/>
    <cellStyle name="Followed Hyperlink" xfId="781" builtinId="9" hidden="1"/>
    <cellStyle name="Followed Hyperlink" xfId="783" builtinId="9" hidden="1"/>
    <cellStyle name="Followed Hyperlink" xfId="785" builtinId="9" hidden="1"/>
    <cellStyle name="Followed Hyperlink" xfId="787" builtinId="9" hidden="1"/>
    <cellStyle name="Followed Hyperlink" xfId="789" builtinId="9" hidden="1"/>
    <cellStyle name="Followed Hyperlink" xfId="791" builtinId="9" hidden="1"/>
    <cellStyle name="Followed Hyperlink" xfId="793" builtinId="9" hidden="1"/>
    <cellStyle name="Followed Hyperlink" xfId="795" builtinId="9" hidden="1"/>
    <cellStyle name="Followed Hyperlink" xfId="797" builtinId="9" hidden="1"/>
    <cellStyle name="Followed Hyperlink" xfId="799" builtinId="9" hidden="1"/>
    <cellStyle name="Followed Hyperlink" xfId="801" builtinId="9" hidden="1"/>
    <cellStyle name="Followed Hyperlink" xfId="803" builtinId="9" hidden="1"/>
    <cellStyle name="Followed Hyperlink" xfId="805" builtinId="9" hidden="1"/>
    <cellStyle name="Followed Hyperlink" xfId="807" builtinId="9" hidden="1"/>
    <cellStyle name="Followed Hyperlink" xfId="809" builtinId="9" hidden="1"/>
    <cellStyle name="Followed Hyperlink" xfId="811" builtinId="9" hidden="1"/>
    <cellStyle name="Followed Hyperlink" xfId="813" builtinId="9" hidden="1"/>
    <cellStyle name="Followed Hyperlink" xfId="815" builtinId="9" hidden="1"/>
    <cellStyle name="Followed Hyperlink" xfId="817" builtinId="9" hidden="1"/>
    <cellStyle name="Followed Hyperlink" xfId="819" builtinId="9" hidden="1"/>
    <cellStyle name="Followed Hyperlink" xfId="821" builtinId="9" hidden="1"/>
    <cellStyle name="Followed Hyperlink" xfId="823" builtinId="9" hidden="1"/>
    <cellStyle name="Followed Hyperlink" xfId="825" builtinId="9" hidden="1"/>
    <cellStyle name="Followed Hyperlink" xfId="827" builtinId="9" hidden="1"/>
    <cellStyle name="Followed Hyperlink" xfId="829" builtinId="9" hidden="1"/>
    <cellStyle name="Followed Hyperlink" xfId="831" builtinId="9" hidden="1"/>
    <cellStyle name="Followed Hyperlink" xfId="833" builtinId="9" hidden="1"/>
    <cellStyle name="Followed Hyperlink" xfId="835" builtinId="9" hidden="1"/>
    <cellStyle name="Followed Hyperlink" xfId="837" builtinId="9" hidden="1"/>
    <cellStyle name="Followed Hyperlink" xfId="839" builtinId="9" hidden="1"/>
    <cellStyle name="Followed Hyperlink" xfId="841" builtinId="9" hidden="1"/>
    <cellStyle name="Followed Hyperlink" xfId="843" builtinId="9" hidden="1"/>
    <cellStyle name="Followed Hyperlink" xfId="845" builtinId="9" hidden="1"/>
    <cellStyle name="Followed Hyperlink" xfId="847" builtinId="9" hidden="1"/>
    <cellStyle name="Followed Hyperlink" xfId="849" builtinId="9" hidden="1"/>
    <cellStyle name="Followed Hyperlink" xfId="851" builtinId="9" hidden="1"/>
    <cellStyle name="Followed Hyperlink" xfId="853" builtinId="9" hidden="1"/>
    <cellStyle name="Followed Hyperlink" xfId="855" builtinId="9" hidden="1"/>
    <cellStyle name="Followed Hyperlink" xfId="857" builtinId="9" hidden="1"/>
    <cellStyle name="Followed Hyperlink" xfId="859" builtinId="9" hidden="1"/>
    <cellStyle name="Followed Hyperlink" xfId="861" builtinId="9" hidden="1"/>
    <cellStyle name="Followed Hyperlink" xfId="863" builtinId="9" hidden="1"/>
    <cellStyle name="Followed Hyperlink" xfId="865" builtinId="9" hidden="1"/>
    <cellStyle name="Followed Hyperlink" xfId="867" builtinId="9" hidden="1"/>
    <cellStyle name="Followed Hyperlink" xfId="869" builtinId="9" hidden="1"/>
    <cellStyle name="Followed Hyperlink" xfId="871" builtinId="9" hidden="1"/>
    <cellStyle name="Followed Hyperlink" xfId="873" builtinId="9" hidden="1"/>
    <cellStyle name="Followed Hyperlink" xfId="875" builtinId="9" hidden="1"/>
    <cellStyle name="Followed Hyperlink" xfId="877" builtinId="9" hidden="1"/>
    <cellStyle name="Followed Hyperlink" xfId="879" builtinId="9" hidden="1"/>
    <cellStyle name="Followed Hyperlink" xfId="881" builtinId="9" hidden="1"/>
    <cellStyle name="Followed Hyperlink" xfId="883" builtinId="9" hidden="1"/>
    <cellStyle name="Followed Hyperlink" xfId="885" builtinId="9" hidden="1"/>
    <cellStyle name="Followed Hyperlink" xfId="887" builtinId="9" hidden="1"/>
    <cellStyle name="Followed Hyperlink" xfId="889" builtinId="9" hidden="1"/>
    <cellStyle name="Followed Hyperlink" xfId="891" builtinId="9" hidden="1"/>
    <cellStyle name="Followed Hyperlink" xfId="893" builtinId="9" hidden="1"/>
    <cellStyle name="Followed Hyperlink" xfId="895" builtinId="9" hidden="1"/>
    <cellStyle name="Followed Hyperlink" xfId="897" builtinId="9" hidden="1"/>
    <cellStyle name="Followed Hyperlink" xfId="899" builtinId="9" hidden="1"/>
    <cellStyle name="Followed Hyperlink" xfId="901" builtinId="9" hidden="1"/>
    <cellStyle name="Followed Hyperlink" xfId="903" builtinId="9" hidden="1"/>
    <cellStyle name="Followed Hyperlink" xfId="905" builtinId="9" hidden="1"/>
    <cellStyle name="Followed Hyperlink" xfId="907" builtinId="9" hidden="1"/>
    <cellStyle name="Followed Hyperlink" xfId="909" builtinId="9" hidden="1"/>
    <cellStyle name="Followed Hyperlink" xfId="911" builtinId="9" hidden="1"/>
    <cellStyle name="Followed Hyperlink" xfId="913" builtinId="9" hidden="1"/>
    <cellStyle name="Followed Hyperlink" xfId="915" builtinId="9" hidden="1"/>
    <cellStyle name="Followed Hyperlink" xfId="917" builtinId="9" hidden="1"/>
    <cellStyle name="Followed Hyperlink" xfId="919" builtinId="9" hidden="1"/>
    <cellStyle name="Followed Hyperlink" xfId="921" builtinId="9" hidden="1"/>
    <cellStyle name="Followed Hyperlink" xfId="923" builtinId="9" hidden="1"/>
    <cellStyle name="Followed Hyperlink" xfId="925" builtinId="9" hidden="1"/>
    <cellStyle name="Followed Hyperlink" xfId="927" builtinId="9" hidden="1"/>
    <cellStyle name="Followed Hyperlink" xfId="929" builtinId="9" hidden="1"/>
    <cellStyle name="Followed Hyperlink" xfId="931" builtinId="9" hidden="1"/>
    <cellStyle name="Followed Hyperlink" xfId="933" builtinId="9" hidden="1"/>
    <cellStyle name="Followed Hyperlink" xfId="935" builtinId="9" hidden="1"/>
    <cellStyle name="Followed Hyperlink" xfId="937" builtinId="9" hidden="1"/>
    <cellStyle name="Followed Hyperlink" xfId="939" builtinId="9" hidden="1"/>
    <cellStyle name="Followed Hyperlink" xfId="941" builtinId="9" hidden="1"/>
    <cellStyle name="Followed Hyperlink" xfId="943" builtinId="9" hidden="1"/>
    <cellStyle name="Followed Hyperlink" xfId="945" builtinId="9" hidden="1"/>
    <cellStyle name="Followed Hyperlink" xfId="947" builtinId="9" hidden="1"/>
    <cellStyle name="Followed Hyperlink" xfId="949" builtinId="9" hidden="1"/>
    <cellStyle name="Followed Hyperlink" xfId="951" builtinId="9" hidden="1"/>
    <cellStyle name="Followed Hyperlink" xfId="953" builtinId="9" hidden="1"/>
    <cellStyle name="Followed Hyperlink" xfId="955" builtinId="9" hidden="1"/>
    <cellStyle name="Followed Hyperlink" xfId="957" builtinId="9" hidden="1"/>
    <cellStyle name="Followed Hyperlink" xfId="959" builtinId="9" hidden="1"/>
    <cellStyle name="Followed Hyperlink" xfId="961" builtinId="9" hidden="1"/>
    <cellStyle name="Followed Hyperlink" xfId="963" builtinId="9" hidden="1"/>
    <cellStyle name="Followed Hyperlink" xfId="965" builtinId="9" hidden="1"/>
    <cellStyle name="Followed Hyperlink" xfId="967" builtinId="9" hidden="1"/>
    <cellStyle name="Followed Hyperlink" xfId="969" builtinId="9" hidden="1"/>
    <cellStyle name="Followed Hyperlink" xfId="971" builtinId="9" hidden="1"/>
    <cellStyle name="Followed Hyperlink" xfId="973" builtinId="9" hidden="1"/>
    <cellStyle name="Followed Hyperlink" xfId="975" builtinId="9" hidden="1"/>
    <cellStyle name="Followed Hyperlink" xfId="977" builtinId="9" hidden="1"/>
    <cellStyle name="Followed Hyperlink" xfId="979" builtinId="9" hidden="1"/>
    <cellStyle name="Followed Hyperlink" xfId="981" builtinId="9" hidden="1"/>
    <cellStyle name="Followed Hyperlink" xfId="983" builtinId="9" hidden="1"/>
    <cellStyle name="Followed Hyperlink" xfId="985" builtinId="9" hidden="1"/>
    <cellStyle name="Followed Hyperlink" xfId="987" builtinId="9" hidden="1"/>
    <cellStyle name="Followed Hyperlink" xfId="989" builtinId="9" hidden="1"/>
    <cellStyle name="Followed Hyperlink" xfId="991" builtinId="9" hidden="1"/>
    <cellStyle name="Followed Hyperlink" xfId="993" builtinId="9" hidden="1"/>
    <cellStyle name="Followed Hyperlink" xfId="995" builtinId="9" hidden="1"/>
    <cellStyle name="Followed Hyperlink" xfId="997" builtinId="9" hidden="1"/>
    <cellStyle name="Followed Hyperlink" xfId="999" builtinId="9" hidden="1"/>
    <cellStyle name="Followed Hyperlink" xfId="1001" builtinId="9" hidden="1"/>
    <cellStyle name="Followed Hyperlink" xfId="1003" builtinId="9" hidden="1"/>
    <cellStyle name="Followed Hyperlink" xfId="1005" builtinId="9" hidden="1"/>
    <cellStyle name="Followed Hyperlink" xfId="1007" builtinId="9" hidden="1"/>
    <cellStyle name="Followed Hyperlink" xfId="1009" builtinId="9" hidden="1"/>
    <cellStyle name="Followed Hyperlink" xfId="1011" builtinId="9" hidden="1"/>
    <cellStyle name="Followed Hyperlink" xfId="1013" builtinId="9" hidden="1"/>
    <cellStyle name="Followed Hyperlink" xfId="1015" builtinId="9" hidden="1"/>
    <cellStyle name="Followed Hyperlink" xfId="1017" builtinId="9" hidden="1"/>
    <cellStyle name="Followed Hyperlink" xfId="1019" builtinId="9" hidden="1"/>
    <cellStyle name="Followed Hyperlink" xfId="1021" builtinId="9" hidden="1"/>
    <cellStyle name="Followed Hyperlink" xfId="1023" builtinId="9" hidden="1"/>
    <cellStyle name="Followed Hyperlink" xfId="1025" builtinId="9" hidden="1"/>
    <cellStyle name="Followed Hyperlink" xfId="1027" builtinId="9" hidden="1"/>
    <cellStyle name="Followed Hyperlink" xfId="1029" builtinId="9" hidden="1"/>
    <cellStyle name="Followed Hyperlink" xfId="1031" builtinId="9" hidden="1"/>
    <cellStyle name="Followed Hyperlink" xfId="1033" builtinId="9" hidden="1"/>
    <cellStyle name="Followed Hyperlink" xfId="1035" builtinId="9" hidden="1"/>
    <cellStyle name="Followed Hyperlink" xfId="1037" builtinId="9" hidden="1"/>
    <cellStyle name="Followed Hyperlink" xfId="1039" builtinId="9" hidden="1"/>
    <cellStyle name="Followed Hyperlink" xfId="1041" builtinId="9" hidden="1"/>
    <cellStyle name="Followed Hyperlink" xfId="1043" builtinId="9" hidden="1"/>
    <cellStyle name="Followed Hyperlink" xfId="1045" builtinId="9" hidden="1"/>
    <cellStyle name="Followed Hyperlink" xfId="1047" builtinId="9" hidden="1"/>
    <cellStyle name="Followed Hyperlink" xfId="1049" builtinId="9" hidden="1"/>
    <cellStyle name="Followed Hyperlink" xfId="1051" builtinId="9" hidden="1"/>
    <cellStyle name="Followed Hyperlink" xfId="1053" builtinId="9" hidden="1"/>
    <cellStyle name="Followed Hyperlink" xfId="1055" builtinId="9" hidden="1"/>
    <cellStyle name="Followed Hyperlink" xfId="1057" builtinId="9" hidden="1"/>
    <cellStyle name="Followed Hyperlink" xfId="1059" builtinId="9" hidden="1"/>
    <cellStyle name="Followed Hyperlink" xfId="1061" builtinId="9" hidden="1"/>
    <cellStyle name="Followed Hyperlink" xfId="1063" builtinId="9" hidden="1"/>
    <cellStyle name="Followed Hyperlink" xfId="1065" builtinId="9" hidden="1"/>
    <cellStyle name="Followed Hyperlink" xfId="1067" builtinId="9" hidden="1"/>
    <cellStyle name="Followed Hyperlink" xfId="1069" builtinId="9" hidden="1"/>
    <cellStyle name="Followed Hyperlink" xfId="1071" builtinId="9" hidden="1"/>
    <cellStyle name="Followed Hyperlink" xfId="1073" builtinId="9" hidden="1"/>
    <cellStyle name="Followed Hyperlink" xfId="1075" builtinId="9" hidden="1"/>
    <cellStyle name="Followed Hyperlink" xfId="1077" builtinId="9" hidden="1"/>
    <cellStyle name="Followed Hyperlink" xfId="1079" builtinId="9" hidden="1"/>
    <cellStyle name="Followed Hyperlink" xfId="1081" builtinId="9" hidden="1"/>
    <cellStyle name="Followed Hyperlink" xfId="1083" builtinId="9" hidden="1"/>
    <cellStyle name="Followed Hyperlink" xfId="1085" builtinId="9" hidden="1"/>
    <cellStyle name="Followed Hyperlink" xfId="1087" builtinId="9" hidden="1"/>
    <cellStyle name="Followed Hyperlink" xfId="1089" builtinId="9" hidden="1"/>
    <cellStyle name="Followed Hyperlink" xfId="1091" builtinId="9" hidden="1"/>
    <cellStyle name="Followed Hyperlink" xfId="1093" builtinId="9" hidden="1"/>
    <cellStyle name="Followed Hyperlink" xfId="1095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28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0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6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2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08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Hyperlink" xfId="542" builtinId="8" hidden="1"/>
    <cellStyle name="Hyperlink" xfId="544" builtinId="8" hidden="1"/>
    <cellStyle name="Hyperlink" xfId="546" builtinId="8" hidden="1"/>
    <cellStyle name="Hyperlink" xfId="548" builtinId="8" hidden="1"/>
    <cellStyle name="Hyperlink" xfId="550" builtinId="8" hidden="1"/>
    <cellStyle name="Hyperlink" xfId="552" builtinId="8" hidden="1"/>
    <cellStyle name="Hyperlink" xfId="554" builtinId="8" hidden="1"/>
    <cellStyle name="Hyperlink" xfId="556" builtinId="8" hidden="1"/>
    <cellStyle name="Hyperlink" xfId="558" builtinId="8" hidden="1"/>
    <cellStyle name="Hyperlink" xfId="560" builtinId="8" hidden="1"/>
    <cellStyle name="Hyperlink" xfId="562" builtinId="8" hidden="1"/>
    <cellStyle name="Hyperlink" xfId="564" builtinId="8" hidden="1"/>
    <cellStyle name="Hyperlink" xfId="566" builtinId="8" hidden="1"/>
    <cellStyle name="Hyperlink" xfId="568" builtinId="8" hidden="1"/>
    <cellStyle name="Hyperlink" xfId="570" builtinId="8" hidden="1"/>
    <cellStyle name="Hyperlink" xfId="572" builtinId="8" hidden="1"/>
    <cellStyle name="Hyperlink" xfId="574" builtinId="8" hidden="1"/>
    <cellStyle name="Hyperlink" xfId="576" builtinId="8" hidden="1"/>
    <cellStyle name="Hyperlink" xfId="578" builtinId="8" hidden="1"/>
    <cellStyle name="Hyperlink" xfId="580" builtinId="8" hidden="1"/>
    <cellStyle name="Hyperlink" xfId="582" builtinId="8" hidden="1"/>
    <cellStyle name="Hyperlink" xfId="584" builtinId="8" hidden="1"/>
    <cellStyle name="Hyperlink" xfId="586" builtinId="8" hidden="1"/>
    <cellStyle name="Hyperlink" xfId="588" builtinId="8" hidden="1"/>
    <cellStyle name="Hyperlink" xfId="590" builtinId="8" hidden="1"/>
    <cellStyle name="Hyperlink" xfId="592" builtinId="8" hidden="1"/>
    <cellStyle name="Hyperlink" xfId="594" builtinId="8" hidden="1"/>
    <cellStyle name="Hyperlink" xfId="596" builtinId="8" hidden="1"/>
    <cellStyle name="Hyperlink" xfId="598" builtinId="8" hidden="1"/>
    <cellStyle name="Hyperlink" xfId="600" builtinId="8" hidden="1"/>
    <cellStyle name="Hyperlink" xfId="602" builtinId="8" hidden="1"/>
    <cellStyle name="Hyperlink" xfId="604" builtinId="8" hidden="1"/>
    <cellStyle name="Hyperlink" xfId="606" builtinId="8" hidden="1"/>
    <cellStyle name="Hyperlink" xfId="608" builtinId="8" hidden="1"/>
    <cellStyle name="Hyperlink" xfId="610" builtinId="8" hidden="1"/>
    <cellStyle name="Hyperlink" xfId="612" builtinId="8" hidden="1"/>
    <cellStyle name="Hyperlink" xfId="614" builtinId="8" hidden="1"/>
    <cellStyle name="Hyperlink" xfId="616" builtinId="8" hidden="1"/>
    <cellStyle name="Hyperlink" xfId="618" builtinId="8" hidden="1"/>
    <cellStyle name="Hyperlink" xfId="620" builtinId="8" hidden="1"/>
    <cellStyle name="Hyperlink" xfId="622" builtinId="8" hidden="1"/>
    <cellStyle name="Hyperlink" xfId="624" builtinId="8" hidden="1"/>
    <cellStyle name="Hyperlink" xfId="626" builtinId="8" hidden="1"/>
    <cellStyle name="Hyperlink" xfId="628" builtinId="8" hidden="1"/>
    <cellStyle name="Hyperlink" xfId="630" builtinId="8" hidden="1"/>
    <cellStyle name="Hyperlink" xfId="632" builtinId="8" hidden="1"/>
    <cellStyle name="Hyperlink" xfId="634" builtinId="8" hidden="1"/>
    <cellStyle name="Hyperlink" xfId="636" builtinId="8" hidden="1"/>
    <cellStyle name="Hyperlink" xfId="638" builtinId="8" hidden="1"/>
    <cellStyle name="Hyperlink" xfId="640" builtinId="8" hidden="1"/>
    <cellStyle name="Hyperlink" xfId="642" builtinId="8" hidden="1"/>
    <cellStyle name="Hyperlink" xfId="644" builtinId="8" hidden="1"/>
    <cellStyle name="Hyperlink" xfId="646" builtinId="8" hidden="1"/>
    <cellStyle name="Hyperlink" xfId="648" builtinId="8" hidden="1"/>
    <cellStyle name="Hyperlink" xfId="650" builtinId="8" hidden="1"/>
    <cellStyle name="Hyperlink" xfId="652" builtinId="8" hidden="1"/>
    <cellStyle name="Hyperlink" xfId="654" builtinId="8" hidden="1"/>
    <cellStyle name="Hyperlink" xfId="656" builtinId="8" hidden="1"/>
    <cellStyle name="Hyperlink" xfId="658" builtinId="8" hidden="1"/>
    <cellStyle name="Hyperlink" xfId="660" builtinId="8" hidden="1"/>
    <cellStyle name="Hyperlink" xfId="662" builtinId="8" hidden="1"/>
    <cellStyle name="Hyperlink" xfId="664" builtinId="8" hidden="1"/>
    <cellStyle name="Hyperlink" xfId="666" builtinId="8" hidden="1"/>
    <cellStyle name="Hyperlink" xfId="668" builtinId="8" hidden="1"/>
    <cellStyle name="Hyperlink" xfId="670" builtinId="8" hidden="1"/>
    <cellStyle name="Hyperlink" xfId="672" builtinId="8" hidden="1"/>
    <cellStyle name="Hyperlink" xfId="674" builtinId="8" hidden="1"/>
    <cellStyle name="Hyperlink" xfId="676" builtinId="8" hidden="1"/>
    <cellStyle name="Hyperlink" xfId="678" builtinId="8" hidden="1"/>
    <cellStyle name="Hyperlink" xfId="680" builtinId="8" hidden="1"/>
    <cellStyle name="Hyperlink" xfId="682" builtinId="8" hidden="1"/>
    <cellStyle name="Hyperlink" xfId="684" builtinId="8" hidden="1"/>
    <cellStyle name="Hyperlink" xfId="686" builtinId="8" hidden="1"/>
    <cellStyle name="Hyperlink" xfId="688" builtinId="8" hidden="1"/>
    <cellStyle name="Hyperlink" xfId="690" builtinId="8" hidden="1"/>
    <cellStyle name="Hyperlink" xfId="692" builtinId="8" hidden="1"/>
    <cellStyle name="Hyperlink" xfId="694" builtinId="8" hidden="1"/>
    <cellStyle name="Hyperlink" xfId="696" builtinId="8" hidden="1"/>
    <cellStyle name="Hyperlink" xfId="698" builtinId="8" hidden="1"/>
    <cellStyle name="Hyperlink" xfId="700" builtinId="8" hidden="1"/>
    <cellStyle name="Hyperlink" xfId="702" builtinId="8" hidden="1"/>
    <cellStyle name="Hyperlink" xfId="704" builtinId="8" hidden="1"/>
    <cellStyle name="Hyperlink" xfId="706" builtinId="8" hidden="1"/>
    <cellStyle name="Hyperlink" xfId="708" builtinId="8" hidden="1"/>
    <cellStyle name="Hyperlink" xfId="710" builtinId="8" hidden="1"/>
    <cellStyle name="Hyperlink" xfId="712" builtinId="8" hidden="1"/>
    <cellStyle name="Hyperlink" xfId="714" builtinId="8" hidden="1"/>
    <cellStyle name="Hyperlink" xfId="716" builtinId="8" hidden="1"/>
    <cellStyle name="Hyperlink" xfId="718" builtinId="8" hidden="1"/>
    <cellStyle name="Hyperlink" xfId="720" builtinId="8" hidden="1"/>
    <cellStyle name="Hyperlink" xfId="722" builtinId="8" hidden="1"/>
    <cellStyle name="Hyperlink" xfId="724" builtinId="8" hidden="1"/>
    <cellStyle name="Hyperlink" xfId="726" builtinId="8" hidden="1"/>
    <cellStyle name="Hyperlink" xfId="728" builtinId="8" hidden="1"/>
    <cellStyle name="Hyperlink" xfId="730" builtinId="8" hidden="1"/>
    <cellStyle name="Hyperlink" xfId="732" builtinId="8" hidden="1"/>
    <cellStyle name="Hyperlink" xfId="734" builtinId="8" hidden="1"/>
    <cellStyle name="Hyperlink" xfId="736" builtinId="8" hidden="1"/>
    <cellStyle name="Hyperlink" xfId="738" builtinId="8" hidden="1"/>
    <cellStyle name="Hyperlink" xfId="740" builtinId="8" hidden="1"/>
    <cellStyle name="Hyperlink" xfId="742" builtinId="8" hidden="1"/>
    <cellStyle name="Hyperlink" xfId="744" builtinId="8" hidden="1"/>
    <cellStyle name="Hyperlink" xfId="746" builtinId="8" hidden="1"/>
    <cellStyle name="Hyperlink" xfId="748" builtinId="8" hidden="1"/>
    <cellStyle name="Hyperlink" xfId="750" builtinId="8" hidden="1"/>
    <cellStyle name="Hyperlink" xfId="752" builtinId="8" hidden="1"/>
    <cellStyle name="Hyperlink" xfId="754" builtinId="8" hidden="1"/>
    <cellStyle name="Hyperlink" xfId="756" builtinId="8" hidden="1"/>
    <cellStyle name="Hyperlink" xfId="758" builtinId="8" hidden="1"/>
    <cellStyle name="Hyperlink" xfId="760" builtinId="8" hidden="1"/>
    <cellStyle name="Hyperlink" xfId="762" builtinId="8" hidden="1"/>
    <cellStyle name="Hyperlink" xfId="764" builtinId="8" hidden="1"/>
    <cellStyle name="Hyperlink" xfId="766" builtinId="8" hidden="1"/>
    <cellStyle name="Hyperlink" xfId="768" builtinId="8" hidden="1"/>
    <cellStyle name="Hyperlink" xfId="770" builtinId="8" hidden="1"/>
    <cellStyle name="Hyperlink" xfId="772" builtinId="8" hidden="1"/>
    <cellStyle name="Hyperlink" xfId="774" builtinId="8" hidden="1"/>
    <cellStyle name="Hyperlink" xfId="776" builtinId="8" hidden="1"/>
    <cellStyle name="Hyperlink" xfId="778" builtinId="8" hidden="1"/>
    <cellStyle name="Hyperlink" xfId="780" builtinId="8" hidden="1"/>
    <cellStyle name="Hyperlink" xfId="782" builtinId="8" hidden="1"/>
    <cellStyle name="Hyperlink" xfId="784" builtinId="8" hidden="1"/>
    <cellStyle name="Hyperlink" xfId="786" builtinId="8" hidden="1"/>
    <cellStyle name="Hyperlink" xfId="788" builtinId="8" hidden="1"/>
    <cellStyle name="Hyperlink" xfId="790" builtinId="8" hidden="1"/>
    <cellStyle name="Hyperlink" xfId="792" builtinId="8" hidden="1"/>
    <cellStyle name="Hyperlink" xfId="794" builtinId="8" hidden="1"/>
    <cellStyle name="Hyperlink" xfId="796" builtinId="8" hidden="1"/>
    <cellStyle name="Hyperlink" xfId="798" builtinId="8" hidden="1"/>
    <cellStyle name="Hyperlink" xfId="800" builtinId="8" hidden="1"/>
    <cellStyle name="Hyperlink" xfId="802" builtinId="8" hidden="1"/>
    <cellStyle name="Hyperlink" xfId="804" builtinId="8" hidden="1"/>
    <cellStyle name="Hyperlink" xfId="806" builtinId="8" hidden="1"/>
    <cellStyle name="Hyperlink" xfId="808" builtinId="8" hidden="1"/>
    <cellStyle name="Hyperlink" xfId="810" builtinId="8" hidden="1"/>
    <cellStyle name="Hyperlink" xfId="812" builtinId="8" hidden="1"/>
    <cellStyle name="Hyperlink" xfId="814" builtinId="8" hidden="1"/>
    <cellStyle name="Hyperlink" xfId="816" builtinId="8" hidden="1"/>
    <cellStyle name="Hyperlink" xfId="818" builtinId="8" hidden="1"/>
    <cellStyle name="Hyperlink" xfId="820" builtinId="8" hidden="1"/>
    <cellStyle name="Hyperlink" xfId="822" builtinId="8" hidden="1"/>
    <cellStyle name="Hyperlink" xfId="824" builtinId="8" hidden="1"/>
    <cellStyle name="Hyperlink" xfId="826" builtinId="8" hidden="1"/>
    <cellStyle name="Hyperlink" xfId="828" builtinId="8" hidden="1"/>
    <cellStyle name="Hyperlink" xfId="830" builtinId="8" hidden="1"/>
    <cellStyle name="Hyperlink" xfId="832" builtinId="8" hidden="1"/>
    <cellStyle name="Hyperlink" xfId="834" builtinId="8" hidden="1"/>
    <cellStyle name="Hyperlink" xfId="836" builtinId="8" hidden="1"/>
    <cellStyle name="Hyperlink" xfId="838" builtinId="8" hidden="1"/>
    <cellStyle name="Hyperlink" xfId="840" builtinId="8" hidden="1"/>
    <cellStyle name="Hyperlink" xfId="842" builtinId="8" hidden="1"/>
    <cellStyle name="Hyperlink" xfId="844" builtinId="8" hidden="1"/>
    <cellStyle name="Hyperlink" xfId="846" builtinId="8" hidden="1"/>
    <cellStyle name="Hyperlink" xfId="848" builtinId="8" hidden="1"/>
    <cellStyle name="Hyperlink" xfId="850" builtinId="8" hidden="1"/>
    <cellStyle name="Hyperlink" xfId="852" builtinId="8" hidden="1"/>
    <cellStyle name="Hyperlink" xfId="854" builtinId="8" hidden="1"/>
    <cellStyle name="Hyperlink" xfId="856" builtinId="8" hidden="1"/>
    <cellStyle name="Hyperlink" xfId="858" builtinId="8" hidden="1"/>
    <cellStyle name="Hyperlink" xfId="860" builtinId="8" hidden="1"/>
    <cellStyle name="Hyperlink" xfId="862" builtinId="8" hidden="1"/>
    <cellStyle name="Hyperlink" xfId="864" builtinId="8" hidden="1"/>
    <cellStyle name="Hyperlink" xfId="866" builtinId="8" hidden="1"/>
    <cellStyle name="Hyperlink" xfId="868" builtinId="8" hidden="1"/>
    <cellStyle name="Hyperlink" xfId="870" builtinId="8" hidden="1"/>
    <cellStyle name="Hyperlink" xfId="872" builtinId="8" hidden="1"/>
    <cellStyle name="Hyperlink" xfId="874" builtinId="8" hidden="1"/>
    <cellStyle name="Hyperlink" xfId="876" builtinId="8" hidden="1"/>
    <cellStyle name="Hyperlink" xfId="878" builtinId="8" hidden="1"/>
    <cellStyle name="Hyperlink" xfId="880" builtinId="8" hidden="1"/>
    <cellStyle name="Hyperlink" xfId="882" builtinId="8" hidden="1"/>
    <cellStyle name="Hyperlink" xfId="884" builtinId="8" hidden="1"/>
    <cellStyle name="Hyperlink" xfId="886" builtinId="8" hidden="1"/>
    <cellStyle name="Hyperlink" xfId="888" builtinId="8" hidden="1"/>
    <cellStyle name="Hyperlink" xfId="890" builtinId="8" hidden="1"/>
    <cellStyle name="Hyperlink" xfId="892" builtinId="8" hidden="1"/>
    <cellStyle name="Hyperlink" xfId="894" builtinId="8" hidden="1"/>
    <cellStyle name="Hyperlink" xfId="896" builtinId="8" hidden="1"/>
    <cellStyle name="Hyperlink" xfId="898" builtinId="8" hidden="1"/>
    <cellStyle name="Hyperlink" xfId="900" builtinId="8" hidden="1"/>
    <cellStyle name="Hyperlink" xfId="902" builtinId="8" hidden="1"/>
    <cellStyle name="Hyperlink" xfId="904" builtinId="8" hidden="1"/>
    <cellStyle name="Hyperlink" xfId="906" builtinId="8" hidden="1"/>
    <cellStyle name="Hyperlink" xfId="908" builtinId="8" hidden="1"/>
    <cellStyle name="Hyperlink" xfId="910" builtinId="8" hidden="1"/>
    <cellStyle name="Hyperlink" xfId="912" builtinId="8" hidden="1"/>
    <cellStyle name="Hyperlink" xfId="914" builtinId="8" hidden="1"/>
    <cellStyle name="Hyperlink" xfId="916" builtinId="8" hidden="1"/>
    <cellStyle name="Hyperlink" xfId="918" builtinId="8" hidden="1"/>
    <cellStyle name="Hyperlink" xfId="920" builtinId="8" hidden="1"/>
    <cellStyle name="Hyperlink" xfId="922" builtinId="8" hidden="1"/>
    <cellStyle name="Hyperlink" xfId="924" builtinId="8" hidden="1"/>
    <cellStyle name="Hyperlink" xfId="926" builtinId="8" hidden="1"/>
    <cellStyle name="Hyperlink" xfId="928" builtinId="8" hidden="1"/>
    <cellStyle name="Hyperlink" xfId="930" builtinId="8" hidden="1"/>
    <cellStyle name="Hyperlink" xfId="932" builtinId="8" hidden="1"/>
    <cellStyle name="Hyperlink" xfId="934" builtinId="8" hidden="1"/>
    <cellStyle name="Hyperlink" xfId="936" builtinId="8" hidden="1"/>
    <cellStyle name="Hyperlink" xfId="938" builtinId="8" hidden="1"/>
    <cellStyle name="Hyperlink" xfId="940" builtinId="8" hidden="1"/>
    <cellStyle name="Hyperlink" xfId="942" builtinId="8" hidden="1"/>
    <cellStyle name="Hyperlink" xfId="944" builtinId="8" hidden="1"/>
    <cellStyle name="Hyperlink" xfId="946" builtinId="8" hidden="1"/>
    <cellStyle name="Hyperlink" xfId="948" builtinId="8" hidden="1"/>
    <cellStyle name="Hyperlink" xfId="950" builtinId="8" hidden="1"/>
    <cellStyle name="Hyperlink" xfId="952" builtinId="8" hidden="1"/>
    <cellStyle name="Hyperlink" xfId="954" builtinId="8" hidden="1"/>
    <cellStyle name="Hyperlink" xfId="956" builtinId="8" hidden="1"/>
    <cellStyle name="Hyperlink" xfId="958" builtinId="8" hidden="1"/>
    <cellStyle name="Hyperlink" xfId="960" builtinId="8" hidden="1"/>
    <cellStyle name="Hyperlink" xfId="962" builtinId="8" hidden="1"/>
    <cellStyle name="Hyperlink" xfId="964" builtinId="8" hidden="1"/>
    <cellStyle name="Hyperlink" xfId="966" builtinId="8" hidden="1"/>
    <cellStyle name="Hyperlink" xfId="968" builtinId="8" hidden="1"/>
    <cellStyle name="Hyperlink" xfId="970" builtinId="8" hidden="1"/>
    <cellStyle name="Hyperlink" xfId="972" builtinId="8" hidden="1"/>
    <cellStyle name="Hyperlink" xfId="974" builtinId="8" hidden="1"/>
    <cellStyle name="Hyperlink" xfId="976" builtinId="8" hidden="1"/>
    <cellStyle name="Hyperlink" xfId="978" builtinId="8" hidden="1"/>
    <cellStyle name="Hyperlink" xfId="980" builtinId="8" hidden="1"/>
    <cellStyle name="Hyperlink" xfId="982" builtinId="8" hidden="1"/>
    <cellStyle name="Hyperlink" xfId="984" builtinId="8" hidden="1"/>
    <cellStyle name="Hyperlink" xfId="986" builtinId="8" hidden="1"/>
    <cellStyle name="Hyperlink" xfId="988" builtinId="8" hidden="1"/>
    <cellStyle name="Hyperlink" xfId="990" builtinId="8" hidden="1"/>
    <cellStyle name="Hyperlink" xfId="992" builtinId="8" hidden="1"/>
    <cellStyle name="Hyperlink" xfId="994" builtinId="8" hidden="1"/>
    <cellStyle name="Hyperlink" xfId="996" builtinId="8" hidden="1"/>
    <cellStyle name="Hyperlink" xfId="998" builtinId="8" hidden="1"/>
    <cellStyle name="Hyperlink" xfId="1000" builtinId="8" hidden="1"/>
    <cellStyle name="Hyperlink" xfId="1002" builtinId="8" hidden="1"/>
    <cellStyle name="Hyperlink" xfId="1004" builtinId="8" hidden="1"/>
    <cellStyle name="Hyperlink" xfId="1006" builtinId="8" hidden="1"/>
    <cellStyle name="Hyperlink" xfId="1008" builtinId="8" hidden="1"/>
    <cellStyle name="Hyperlink" xfId="1010" builtinId="8" hidden="1"/>
    <cellStyle name="Hyperlink" xfId="1012" builtinId="8" hidden="1"/>
    <cellStyle name="Hyperlink" xfId="1014" builtinId="8" hidden="1"/>
    <cellStyle name="Hyperlink" xfId="1016" builtinId="8" hidden="1"/>
    <cellStyle name="Hyperlink" xfId="1018" builtinId="8" hidden="1"/>
    <cellStyle name="Hyperlink" xfId="1020" builtinId="8" hidden="1"/>
    <cellStyle name="Hyperlink" xfId="1022" builtinId="8" hidden="1"/>
    <cellStyle name="Hyperlink" xfId="1024" builtinId="8" hidden="1"/>
    <cellStyle name="Hyperlink" xfId="1026" builtinId="8" hidden="1"/>
    <cellStyle name="Hyperlink" xfId="1028" builtinId="8" hidden="1"/>
    <cellStyle name="Hyperlink" xfId="1030" builtinId="8" hidden="1"/>
    <cellStyle name="Hyperlink" xfId="1032" builtinId="8" hidden="1"/>
    <cellStyle name="Hyperlink" xfId="1034" builtinId="8" hidden="1"/>
    <cellStyle name="Hyperlink" xfId="1036" builtinId="8" hidden="1"/>
    <cellStyle name="Hyperlink" xfId="1038" builtinId="8" hidden="1"/>
    <cellStyle name="Hyperlink" xfId="1040" builtinId="8" hidden="1"/>
    <cellStyle name="Hyperlink" xfId="1042" builtinId="8" hidden="1"/>
    <cellStyle name="Hyperlink" xfId="1044" builtinId="8" hidden="1"/>
    <cellStyle name="Hyperlink" xfId="1046" builtinId="8" hidden="1"/>
    <cellStyle name="Hyperlink" xfId="1048" builtinId="8" hidden="1"/>
    <cellStyle name="Hyperlink" xfId="1050" builtinId="8" hidden="1"/>
    <cellStyle name="Hyperlink" xfId="1052" builtinId="8" hidden="1"/>
    <cellStyle name="Hyperlink" xfId="1054" builtinId="8" hidden="1"/>
    <cellStyle name="Hyperlink" xfId="1056" builtinId="8" hidden="1"/>
    <cellStyle name="Hyperlink" xfId="1058" builtinId="8" hidden="1"/>
    <cellStyle name="Hyperlink" xfId="1060" builtinId="8" hidden="1"/>
    <cellStyle name="Hyperlink" xfId="1062" builtinId="8" hidden="1"/>
    <cellStyle name="Hyperlink" xfId="1064" builtinId="8" hidden="1"/>
    <cellStyle name="Hyperlink" xfId="1066" builtinId="8" hidden="1"/>
    <cellStyle name="Hyperlink" xfId="1068" builtinId="8" hidden="1"/>
    <cellStyle name="Hyperlink" xfId="1070" builtinId="8" hidden="1"/>
    <cellStyle name="Hyperlink" xfId="1072" builtinId="8" hidden="1"/>
    <cellStyle name="Hyperlink" xfId="1074" builtinId="8" hidden="1"/>
    <cellStyle name="Hyperlink" xfId="1076" builtinId="8" hidden="1"/>
    <cellStyle name="Hyperlink" xfId="1078" builtinId="8" hidden="1"/>
    <cellStyle name="Hyperlink" xfId="1080" builtinId="8" hidden="1"/>
    <cellStyle name="Hyperlink" xfId="1082" builtinId="8" hidden="1"/>
    <cellStyle name="Hyperlink" xfId="1084" builtinId="8" hidden="1"/>
    <cellStyle name="Hyperlink" xfId="1086" builtinId="8" hidden="1"/>
    <cellStyle name="Hyperlink" xfId="1088" builtinId="8" hidden="1"/>
    <cellStyle name="Hyperlink" xfId="1090" builtinId="8" hidden="1"/>
    <cellStyle name="Hyperlink" xfId="1092" builtinId="8" hidden="1"/>
    <cellStyle name="Hyperlink" xfId="1094" builtinId="8" hidden="1"/>
    <cellStyle name="Normal" xfId="0" builtinId="0"/>
    <cellStyle name="Percent" xfId="177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theme" Target="theme/theme1.xml"/><Relationship Id="rId24" Type="http://schemas.openxmlformats.org/officeDocument/2006/relationships/styles" Target="styles.xml"/><Relationship Id="rId25" Type="http://schemas.openxmlformats.org/officeDocument/2006/relationships/sharedStrings" Target="sharedStrings.xml"/><Relationship Id="rId26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INPUTS!$G$58</c:f>
              <c:strCache>
                <c:ptCount val="1"/>
                <c:pt idx="0">
                  <c:v>Useful Solar thermal Energy, Qut (MMBtu/yr)</c:v>
                </c:pt>
              </c:strCache>
            </c:strRef>
          </c:tx>
          <c:invertIfNegative val="0"/>
          <c:cat>
            <c:strRef>
              <c:f>INPUTS!$C$62:$C$79</c:f>
              <c:strCache>
                <c:ptCount val="18"/>
                <c:pt idx="0">
                  <c:v>Logansport, IN</c:v>
                </c:pt>
                <c:pt idx="1">
                  <c:v>Gibson City, IL</c:v>
                </c:pt>
                <c:pt idx="2">
                  <c:v>Cambria, WI</c:v>
                </c:pt>
                <c:pt idx="3">
                  <c:v>Marshall, MN</c:v>
                </c:pt>
                <c:pt idx="4">
                  <c:v>Watertown, SD</c:v>
                </c:pt>
                <c:pt idx="5">
                  <c:v>Richardton, ND</c:v>
                </c:pt>
                <c:pt idx="6">
                  <c:v>Arthur, IA</c:v>
                </c:pt>
                <c:pt idx="7">
                  <c:v>St. Joseph, MO</c:v>
                </c:pt>
                <c:pt idx="8">
                  <c:v>Sutherland, NE</c:v>
                </c:pt>
                <c:pt idx="9">
                  <c:v>Torrington, WY</c:v>
                </c:pt>
                <c:pt idx="10">
                  <c:v>Burley, ID</c:v>
                </c:pt>
                <c:pt idx="11">
                  <c:v>Yuma, CO</c:v>
                </c:pt>
                <c:pt idx="12">
                  <c:v>Russell, KS</c:v>
                </c:pt>
                <c:pt idx="13">
                  <c:v>Arkalon, KS</c:v>
                </c:pt>
                <c:pt idx="14">
                  <c:v>Plainview, TX</c:v>
                </c:pt>
                <c:pt idx="15">
                  <c:v>Imperial Valley, CA</c:v>
                </c:pt>
                <c:pt idx="16">
                  <c:v>Stockton, CA</c:v>
                </c:pt>
                <c:pt idx="17">
                  <c:v>Maricopa, AZ</c:v>
                </c:pt>
              </c:strCache>
            </c:strRef>
          </c:cat>
          <c:val>
            <c:numRef>
              <c:f>INPUTS!$G$62:$G$79</c:f>
              <c:numCache>
                <c:formatCode>_(* #,##0_);_(* \(#,##0\);_(* "-"??_);_(@_)</c:formatCode>
                <c:ptCount val="18"/>
                <c:pt idx="0">
                  <c:v>11472.50450455678</c:v>
                </c:pt>
                <c:pt idx="1">
                  <c:v>11845.95153836178</c:v>
                </c:pt>
                <c:pt idx="2">
                  <c:v>11002.05665528818</c:v>
                </c:pt>
                <c:pt idx="3">
                  <c:v>10762.65655857887</c:v>
                </c:pt>
                <c:pt idx="4">
                  <c:v>11395.13282230888</c:v>
                </c:pt>
                <c:pt idx="5">
                  <c:v>10594.52094303119</c:v>
                </c:pt>
                <c:pt idx="6">
                  <c:v>11446.68178626313</c:v>
                </c:pt>
                <c:pt idx="7">
                  <c:v>12889.91763122375</c:v>
                </c:pt>
                <c:pt idx="8">
                  <c:v>13499.23962230113</c:v>
                </c:pt>
                <c:pt idx="9">
                  <c:v>12966.91435230091</c:v>
                </c:pt>
                <c:pt idx="10">
                  <c:v>14120.30815480774</c:v>
                </c:pt>
                <c:pt idx="11">
                  <c:v>14182.52207376489</c:v>
                </c:pt>
                <c:pt idx="12">
                  <c:v>14413.42963624521</c:v>
                </c:pt>
                <c:pt idx="13">
                  <c:v>15307.53379577181</c:v>
                </c:pt>
                <c:pt idx="14">
                  <c:v>17010.11308979994</c:v>
                </c:pt>
                <c:pt idx="15">
                  <c:v>19485.41211225213</c:v>
                </c:pt>
                <c:pt idx="16">
                  <c:v>17967.25108057462</c:v>
                </c:pt>
                <c:pt idx="17">
                  <c:v>19757.66250668588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1171896"/>
        <c:axId val="2081174904"/>
      </c:barChart>
      <c:catAx>
        <c:axId val="2081171896"/>
        <c:scaling>
          <c:orientation val="minMax"/>
        </c:scaling>
        <c:delete val="0"/>
        <c:axPos val="l"/>
        <c:majorTickMark val="out"/>
        <c:minorTickMark val="none"/>
        <c:tickLblPos val="nextTo"/>
        <c:crossAx val="2081174904"/>
        <c:crosses val="autoZero"/>
        <c:auto val="1"/>
        <c:lblAlgn val="ctr"/>
        <c:lblOffset val="100"/>
        <c:noMultiLvlLbl val="0"/>
      </c:catAx>
      <c:valAx>
        <c:axId val="2081174904"/>
        <c:scaling>
          <c:orientation val="minMax"/>
        </c:scaling>
        <c:delete val="0"/>
        <c:axPos val="b"/>
        <c:majorGridlines/>
        <c:numFmt formatCode="_(* #,##0_);_(* \(#,##0\);_(* &quot;-&quot;??_);_(@_)" sourceLinked="1"/>
        <c:majorTickMark val="out"/>
        <c:minorTickMark val="none"/>
        <c:tickLblPos val="nextTo"/>
        <c:crossAx val="2081171896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'Cambria, WI'!$C$17:$N$17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'Cambria, WI'!$C$20:$N$20</c:f>
              <c:numCache>
                <c:formatCode>_(* #,##0_);_(* \(#,##0\);_(* "-"??_);_(@_)</c:formatCode>
                <c:ptCount val="12"/>
                <c:pt idx="0">
                  <c:v>376702.041154031</c:v>
                </c:pt>
                <c:pt idx="1">
                  <c:v>347902.1132880603</c:v>
                </c:pt>
                <c:pt idx="2">
                  <c:v>375061.8313819614</c:v>
                </c:pt>
                <c:pt idx="3">
                  <c:v>480229.8387403009</c:v>
                </c:pt>
                <c:pt idx="4">
                  <c:v>343249.6953642373</c:v>
                </c:pt>
                <c:pt idx="5">
                  <c:v>267755.1126039551</c:v>
                </c:pt>
                <c:pt idx="6">
                  <c:v>193502.8898252078</c:v>
                </c:pt>
                <c:pt idx="7">
                  <c:v>178125.8820034869</c:v>
                </c:pt>
                <c:pt idx="8">
                  <c:v>223365.5407011201</c:v>
                </c:pt>
                <c:pt idx="9">
                  <c:v>306081.9665013614</c:v>
                </c:pt>
                <c:pt idx="10">
                  <c:v>351026.963978264</c:v>
                </c:pt>
                <c:pt idx="11">
                  <c:v>335588.1577624508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406040"/>
        <c:axId val="2083409048"/>
      </c:lineChart>
      <c:catAx>
        <c:axId val="2083406040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409048"/>
        <c:crosses val="autoZero"/>
        <c:auto val="1"/>
        <c:lblAlgn val="ctr"/>
        <c:lblOffset val="100"/>
        <c:noMultiLvlLbl val="0"/>
      </c:catAx>
      <c:valAx>
        <c:axId val="2083409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406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'Marshall, MN'!$C$17:$N$17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'Marshall, MN'!$C$18:$N$18</c:f>
              <c:numCache>
                <c:formatCode>_(* #,##0_);_(* \(#,##0\);_(* "-"??_);_(@_)</c:formatCode>
                <c:ptCount val="12"/>
                <c:pt idx="0">
                  <c:v>272549.4175601998</c:v>
                </c:pt>
                <c:pt idx="1">
                  <c:v>387767.7025875</c:v>
                </c:pt>
                <c:pt idx="2">
                  <c:v>667399.4935119002</c:v>
                </c:pt>
                <c:pt idx="3">
                  <c:v>1.0633360951206E6</c:v>
                </c:pt>
                <c:pt idx="4">
                  <c:v>1.355540540076E6</c:v>
                </c:pt>
                <c:pt idx="5">
                  <c:v>1.59009703803E6</c:v>
                </c:pt>
                <c:pt idx="6">
                  <c:v>1.764295927038E6</c:v>
                </c:pt>
                <c:pt idx="7">
                  <c:v>1.59475357656E6</c:v>
                </c:pt>
                <c:pt idx="8">
                  <c:v>1.23597836982E6</c:v>
                </c:pt>
                <c:pt idx="9">
                  <c:v>849773.9337389998</c:v>
                </c:pt>
                <c:pt idx="10">
                  <c:v>386283.81897594</c:v>
                </c:pt>
                <c:pt idx="11">
                  <c:v>186826.75628157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451016"/>
        <c:axId val="2083454024"/>
      </c:lineChart>
      <c:catAx>
        <c:axId val="208345101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454024"/>
        <c:crosses val="autoZero"/>
        <c:auto val="1"/>
        <c:lblAlgn val="ctr"/>
        <c:lblOffset val="100"/>
        <c:noMultiLvlLbl val="0"/>
      </c:catAx>
      <c:valAx>
        <c:axId val="2083454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451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'Marshall, MN'!$C$17:$N$17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'Marshall, MN'!$C$20:$N$20</c:f>
              <c:numCache>
                <c:formatCode>_(* #,##0_);_(* \(#,##0\);_(* "-"??_);_(@_)</c:formatCode>
                <c:ptCount val="12"/>
                <c:pt idx="0">
                  <c:v>290616.8134063295</c:v>
                </c:pt>
                <c:pt idx="1">
                  <c:v>277017.6618087778</c:v>
                </c:pt>
                <c:pt idx="2">
                  <c:v>347902.1132880603</c:v>
                </c:pt>
                <c:pt idx="3">
                  <c:v>491910.5993023878</c:v>
                </c:pt>
                <c:pt idx="4">
                  <c:v>365320.4588501835</c:v>
                </c:pt>
                <c:pt idx="5">
                  <c:v>267755.1126039551</c:v>
                </c:pt>
                <c:pt idx="6">
                  <c:v>191403.4193736494</c:v>
                </c:pt>
                <c:pt idx="7">
                  <c:v>198818.610126712</c:v>
                </c:pt>
                <c:pt idx="8">
                  <c:v>247363.8380303348</c:v>
                </c:pt>
                <c:pt idx="9">
                  <c:v>282405.2139956306</c:v>
                </c:pt>
                <c:pt idx="10">
                  <c:v>282405.2139956306</c:v>
                </c:pt>
                <c:pt idx="11">
                  <c:v>251105.4129805798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484696"/>
        <c:axId val="2083487704"/>
      </c:lineChart>
      <c:catAx>
        <c:axId val="208348469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487704"/>
        <c:crosses val="autoZero"/>
        <c:auto val="1"/>
        <c:lblAlgn val="ctr"/>
        <c:lblOffset val="100"/>
        <c:noMultiLvlLbl val="0"/>
      </c:catAx>
      <c:valAx>
        <c:axId val="2083487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484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'Watertown, SD'!$C$18:$N$18</c:f>
              <c:numCache>
                <c:formatCode>_(* #,##0_);_(* \(#,##0\);_(* "-"??_);_(@_)</c:formatCode>
                <c:ptCount val="12"/>
                <c:pt idx="0">
                  <c:v>289465.9568199001</c:v>
                </c:pt>
                <c:pt idx="1">
                  <c:v>438566.1031512</c:v>
                </c:pt>
                <c:pt idx="2">
                  <c:v>745416.4704831</c:v>
                </c:pt>
                <c:pt idx="3">
                  <c:v>1.1044023301566E6</c:v>
                </c:pt>
                <c:pt idx="4">
                  <c:v>1.406363332032E6</c:v>
                </c:pt>
                <c:pt idx="5">
                  <c:v>1.638547212735E6</c:v>
                </c:pt>
                <c:pt idx="6">
                  <c:v>1.799286487992E6</c:v>
                </c:pt>
                <c:pt idx="7">
                  <c:v>1.67990170968E6</c:v>
                </c:pt>
                <c:pt idx="8">
                  <c:v>1.31536126476E6</c:v>
                </c:pt>
                <c:pt idx="9">
                  <c:v>910552.8485520002</c:v>
                </c:pt>
                <c:pt idx="10">
                  <c:v>456778.71230175</c:v>
                </c:pt>
                <c:pt idx="11">
                  <c:v>237222.69887232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781352"/>
        <c:axId val="2082778328"/>
      </c:lineChart>
      <c:catAx>
        <c:axId val="208278135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778328"/>
        <c:crosses val="autoZero"/>
        <c:auto val="1"/>
        <c:lblAlgn val="ctr"/>
        <c:lblOffset val="100"/>
        <c:noMultiLvlLbl val="0"/>
      </c:catAx>
      <c:valAx>
        <c:axId val="2082778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781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'Watertown, SD'!$C$20:$N$20</c:f>
              <c:numCache>
                <c:formatCode>_(* #,##0_);_(* \(#,##0\);_(* "-"??_);_(@_)</c:formatCode>
                <c:ptCount val="12"/>
                <c:pt idx="0">
                  <c:v>470638.3173373858</c:v>
                </c:pt>
                <c:pt idx="1">
                  <c:v>453696.9940708727</c:v>
                </c:pt>
                <c:pt idx="2">
                  <c:v>532211.8740080815</c:v>
                </c:pt>
                <c:pt idx="3">
                  <c:v>712888.056881574</c:v>
                </c:pt>
                <c:pt idx="4">
                  <c:v>563841.263759251</c:v>
                </c:pt>
                <c:pt idx="5">
                  <c:v>422815.3874444907</c:v>
                </c:pt>
                <c:pt idx="6">
                  <c:v>332555.7530742284</c:v>
                </c:pt>
                <c:pt idx="7">
                  <c:v>366932.1644383089</c:v>
                </c:pt>
                <c:pt idx="8">
                  <c:v>426373.422610196</c:v>
                </c:pt>
                <c:pt idx="9">
                  <c:v>466837.75716468</c:v>
                </c:pt>
                <c:pt idx="10">
                  <c:v>440805.1689049238</c:v>
                </c:pt>
                <c:pt idx="11">
                  <c:v>414007.0197100138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746264"/>
        <c:axId val="2082743240"/>
      </c:lineChart>
      <c:catAx>
        <c:axId val="2082746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743240"/>
        <c:crosses val="autoZero"/>
        <c:auto val="1"/>
        <c:lblAlgn val="ctr"/>
        <c:lblOffset val="100"/>
        <c:noMultiLvlLbl val="0"/>
      </c:catAx>
      <c:valAx>
        <c:axId val="2082743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746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'Richardton, ND'!$C$17:$N$17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'Richardton, ND'!$C$18:$N$18</c:f>
              <c:numCache>
                <c:formatCode>_(* #,##0_);_(* \(#,##0\);_(* "-"??_);_(@_)</c:formatCode>
                <c:ptCount val="12"/>
                <c:pt idx="0">
                  <c:v>83817.69354000011</c:v>
                </c:pt>
                <c:pt idx="1">
                  <c:v>398976.6560489999</c:v>
                </c:pt>
                <c:pt idx="2">
                  <c:v>683743.9437521998</c:v>
                </c:pt>
                <c:pt idx="3">
                  <c:v>1.1030120207955E6</c:v>
                </c:pt>
                <c:pt idx="4">
                  <c:v>1.40649637599E6</c:v>
                </c:pt>
                <c:pt idx="5">
                  <c:v>1.641895485678E6</c:v>
                </c:pt>
                <c:pt idx="6">
                  <c:v>1.840352723028E6</c:v>
                </c:pt>
                <c:pt idx="7">
                  <c:v>1.675599955038E6</c:v>
                </c:pt>
                <c:pt idx="8">
                  <c:v>1.239038380854E6</c:v>
                </c:pt>
                <c:pt idx="9">
                  <c:v>737232.0496668001</c:v>
                </c:pt>
                <c:pt idx="10">
                  <c:v>289699.44896619</c:v>
                </c:pt>
                <c:pt idx="11">
                  <c:v>77354.86154021991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701080"/>
        <c:axId val="2082698056"/>
      </c:lineChart>
      <c:catAx>
        <c:axId val="2082701080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698056"/>
        <c:crosses val="autoZero"/>
        <c:auto val="1"/>
        <c:lblAlgn val="ctr"/>
        <c:lblOffset val="100"/>
        <c:noMultiLvlLbl val="0"/>
      </c:catAx>
      <c:valAx>
        <c:axId val="2082698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701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'Richardton, ND'!$C$20:$N$20</c:f>
              <c:numCache>
                <c:formatCode>_(* #,##0_);_(* \(#,##0\);_(* "-"??_);_(@_)</c:formatCode>
                <c:ptCount val="12"/>
                <c:pt idx="0">
                  <c:v>484102.6414381288</c:v>
                </c:pt>
                <c:pt idx="1">
                  <c:v>453696.9940708727</c:v>
                </c:pt>
                <c:pt idx="2">
                  <c:v>476377.7461678421</c:v>
                </c:pt>
                <c:pt idx="3">
                  <c:v>640121.0811484017</c:v>
                </c:pt>
                <c:pt idx="4">
                  <c:v>583407.3039198624</c:v>
                </c:pt>
                <c:pt idx="5">
                  <c:v>426373.422610196</c:v>
                </c:pt>
                <c:pt idx="6">
                  <c:v>341708.1571244628</c:v>
                </c:pt>
                <c:pt idx="7">
                  <c:v>352596.3817668344</c:v>
                </c:pt>
                <c:pt idx="8">
                  <c:v>433549.26358493</c:v>
                </c:pt>
                <c:pt idx="9">
                  <c:v>472546.3081976276</c:v>
                </c:pt>
                <c:pt idx="10">
                  <c:v>388317.5979037345</c:v>
                </c:pt>
                <c:pt idx="11">
                  <c:v>426373.422610196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666584"/>
        <c:axId val="2082663560"/>
      </c:lineChart>
      <c:catAx>
        <c:axId val="2082666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663560"/>
        <c:crosses val="autoZero"/>
        <c:auto val="1"/>
        <c:lblAlgn val="ctr"/>
        <c:lblOffset val="100"/>
        <c:noMultiLvlLbl val="0"/>
      </c:catAx>
      <c:valAx>
        <c:axId val="2082663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666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'Arthur, IA'!$C$17:$N$17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'Arthur, IA'!$C$18:$N$18</c:f>
              <c:numCache>
                <c:formatCode>_(* #,##0_);_(* \(#,##0\);_(* "-"??_);_(@_)</c:formatCode>
                <c:ptCount val="12"/>
                <c:pt idx="0">
                  <c:v>290499.2648937</c:v>
                </c:pt>
                <c:pt idx="1">
                  <c:v>460380.8774646001</c:v>
                </c:pt>
                <c:pt idx="2">
                  <c:v>745726.9063850998</c:v>
                </c:pt>
                <c:pt idx="3">
                  <c:v>1.0748222234946E6</c:v>
                </c:pt>
                <c:pt idx="4">
                  <c:v>1.380885414075E6</c:v>
                </c:pt>
                <c:pt idx="5">
                  <c:v>1.67236255206E6</c:v>
                </c:pt>
                <c:pt idx="6">
                  <c:v>1.787512097709E6</c:v>
                </c:pt>
                <c:pt idx="7">
                  <c:v>1.645886804418E6</c:v>
                </c:pt>
                <c:pt idx="8">
                  <c:v>1.341859186395E6</c:v>
                </c:pt>
                <c:pt idx="9">
                  <c:v>944791.7111432999</c:v>
                </c:pt>
                <c:pt idx="10">
                  <c:v>452177.6087542501</c:v>
                </c:pt>
                <c:pt idx="11">
                  <c:v>279344.63771505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621272"/>
        <c:axId val="2082618248"/>
      </c:lineChart>
      <c:catAx>
        <c:axId val="2082621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618248"/>
        <c:crosses val="autoZero"/>
        <c:auto val="1"/>
        <c:lblAlgn val="ctr"/>
        <c:lblOffset val="100"/>
        <c:noMultiLvlLbl val="0"/>
      </c:catAx>
      <c:valAx>
        <c:axId val="2082618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621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Generated by a Wind Turbine Each Month for Arthur, IA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'Arthur, IA'!$C$17:$N$17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'Arthur, IA'!$C$17:$N$17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'Watertown, SD'!$C$20:$N$20</c:f>
              <c:numCache>
                <c:formatCode>_(* #,##0_);_(* \(#,##0\);_(* "-"??_);_(@_)</c:formatCode>
                <c:ptCount val="12"/>
                <c:pt idx="0">
                  <c:v>470638.3173373858</c:v>
                </c:pt>
                <c:pt idx="1">
                  <c:v>453696.9940708727</c:v>
                </c:pt>
                <c:pt idx="2">
                  <c:v>532211.8740080815</c:v>
                </c:pt>
                <c:pt idx="3">
                  <c:v>712888.056881574</c:v>
                </c:pt>
                <c:pt idx="4">
                  <c:v>563841.263759251</c:v>
                </c:pt>
                <c:pt idx="5">
                  <c:v>422815.3874444907</c:v>
                </c:pt>
                <c:pt idx="6">
                  <c:v>332555.7530742284</c:v>
                </c:pt>
                <c:pt idx="7">
                  <c:v>366932.1644383089</c:v>
                </c:pt>
                <c:pt idx="8">
                  <c:v>426373.422610196</c:v>
                </c:pt>
                <c:pt idx="9">
                  <c:v>466837.75716468</c:v>
                </c:pt>
                <c:pt idx="10">
                  <c:v>440805.1689049238</c:v>
                </c:pt>
                <c:pt idx="11">
                  <c:v>414007.0197100138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586568"/>
        <c:axId val="2082583544"/>
      </c:lineChart>
      <c:catAx>
        <c:axId val="208258656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583544"/>
        <c:crosses val="autoZero"/>
        <c:auto val="1"/>
        <c:lblAlgn val="ctr"/>
        <c:lblOffset val="100"/>
        <c:noMultiLvlLbl val="0"/>
      </c:catAx>
      <c:valAx>
        <c:axId val="2082583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586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'St. Joseph, MO'!$C$17:$N$17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'St. Joseph, MO'!$C$18:$N$18</c:f>
              <c:numCache>
                <c:formatCode>_(* #,##0_);_(* \(#,##0\);_(* "-"??_);_(@_)</c:formatCode>
                <c:ptCount val="12"/>
                <c:pt idx="0">
                  <c:v>458379.6745963501</c:v>
                </c:pt>
                <c:pt idx="1">
                  <c:v>549418.3289568</c:v>
                </c:pt>
                <c:pt idx="2">
                  <c:v>952080.3026423997</c:v>
                </c:pt>
                <c:pt idx="3">
                  <c:v>1.219392223056E6</c:v>
                </c:pt>
                <c:pt idx="4">
                  <c:v>1.475102710332E6</c:v>
                </c:pt>
                <c:pt idx="5">
                  <c:v>1.729261018098E6</c:v>
                </c:pt>
                <c:pt idx="6">
                  <c:v>1.88124156612E6</c:v>
                </c:pt>
                <c:pt idx="7">
                  <c:v>1.722431428254E6</c:v>
                </c:pt>
                <c:pt idx="8">
                  <c:v>1.499316710688E6</c:v>
                </c:pt>
                <c:pt idx="9">
                  <c:v>1.098588309192E6</c:v>
                </c:pt>
                <c:pt idx="10">
                  <c:v>595149.9721199999</c:v>
                </c:pt>
                <c:pt idx="11">
                  <c:v>418500.8568855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541272"/>
        <c:axId val="2082538248"/>
      </c:lineChart>
      <c:catAx>
        <c:axId val="2082541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538248"/>
        <c:crosses val="autoZero"/>
        <c:auto val="1"/>
        <c:lblAlgn val="ctr"/>
        <c:lblOffset val="100"/>
        <c:noMultiLvlLbl val="0"/>
      </c:catAx>
      <c:valAx>
        <c:axId val="2082538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541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INPUTS!$F$58</c:f>
              <c:strCache>
                <c:ptCount val="1"/>
                <c:pt idx="0">
                  <c:v>Electricity Generation, Ew (kWh/yr)</c:v>
                </c:pt>
              </c:strCache>
            </c:strRef>
          </c:tx>
          <c:invertIfNegative val="0"/>
          <c:cat>
            <c:strRef>
              <c:f>INPUTS!$C$62:$C$79</c:f>
              <c:strCache>
                <c:ptCount val="18"/>
                <c:pt idx="0">
                  <c:v>Logansport, IN</c:v>
                </c:pt>
                <c:pt idx="1">
                  <c:v>Gibson City, IL</c:v>
                </c:pt>
                <c:pt idx="2">
                  <c:v>Cambria, WI</c:v>
                </c:pt>
                <c:pt idx="3">
                  <c:v>Marshall, MN</c:v>
                </c:pt>
                <c:pt idx="4">
                  <c:v>Watertown, SD</c:v>
                </c:pt>
                <c:pt idx="5">
                  <c:v>Richardton, ND</c:v>
                </c:pt>
                <c:pt idx="6">
                  <c:v>Arthur, IA</c:v>
                </c:pt>
                <c:pt idx="7">
                  <c:v>St. Joseph, MO</c:v>
                </c:pt>
                <c:pt idx="8">
                  <c:v>Sutherland, NE</c:v>
                </c:pt>
                <c:pt idx="9">
                  <c:v>Torrington, WY</c:v>
                </c:pt>
                <c:pt idx="10">
                  <c:v>Burley, ID</c:v>
                </c:pt>
                <c:pt idx="11">
                  <c:v>Yuma, CO</c:v>
                </c:pt>
                <c:pt idx="12">
                  <c:v>Russell, KS</c:v>
                </c:pt>
                <c:pt idx="13">
                  <c:v>Arkalon, KS</c:v>
                </c:pt>
                <c:pt idx="14">
                  <c:v>Plainview, TX</c:v>
                </c:pt>
                <c:pt idx="15">
                  <c:v>Imperial Valley, CA</c:v>
                </c:pt>
                <c:pt idx="16">
                  <c:v>Stockton, CA</c:v>
                </c:pt>
                <c:pt idx="17">
                  <c:v>Maricopa, AZ</c:v>
                </c:pt>
              </c:strCache>
            </c:strRef>
          </c:cat>
          <c:val>
            <c:numRef>
              <c:f>INPUTS!$F$62:$F$79</c:f>
              <c:numCache>
                <c:formatCode>_(* #,##0_);_(* \(#,##0\);_(* "-"??_);_(@_)</c:formatCode>
                <c:ptCount val="18"/>
                <c:pt idx="0">
                  <c:v>4.25519749021567E6</c:v>
                </c:pt>
                <c:pt idx="1">
                  <c:v>4.23121227205243E6</c:v>
                </c:pt>
                <c:pt idx="2">
                  <c:v>3.77859203330444E6</c:v>
                </c:pt>
                <c:pt idx="3">
                  <c:v>3.49402446776223E6</c:v>
                </c:pt>
                <c:pt idx="4">
                  <c:v>5.60360317940401E6</c:v>
                </c:pt>
                <c:pt idx="5">
                  <c:v>5.47917032054309E6</c:v>
                </c:pt>
                <c:pt idx="6">
                  <c:v>4.12793500405692E6</c:v>
                </c:pt>
                <c:pt idx="7">
                  <c:v>3.89030213144274E6</c:v>
                </c:pt>
                <c:pt idx="8">
                  <c:v>4.68195256027469E6</c:v>
                </c:pt>
                <c:pt idx="9">
                  <c:v>5.15954929812912E6</c:v>
                </c:pt>
                <c:pt idx="10">
                  <c:v>2.69124401455173E6</c:v>
                </c:pt>
                <c:pt idx="11">
                  <c:v>4.716361325426E6</c:v>
                </c:pt>
                <c:pt idx="12">
                  <c:v>6.3811538277611E6</c:v>
                </c:pt>
                <c:pt idx="13">
                  <c:v>7.55126816446818E6</c:v>
                </c:pt>
                <c:pt idx="14">
                  <c:v>6.64927081926816E6</c:v>
                </c:pt>
                <c:pt idx="15">
                  <c:v>2.45555860395552E6</c:v>
                </c:pt>
                <c:pt idx="16">
                  <c:v>2.35157111654228E6</c:v>
                </c:pt>
                <c:pt idx="17">
                  <c:v>3.11812480284497E6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056952"/>
        <c:axId val="2083059896"/>
      </c:barChart>
      <c:catAx>
        <c:axId val="2083056952"/>
        <c:scaling>
          <c:orientation val="minMax"/>
        </c:scaling>
        <c:delete val="0"/>
        <c:axPos val="l"/>
        <c:majorTickMark val="out"/>
        <c:minorTickMark val="none"/>
        <c:tickLblPos val="nextTo"/>
        <c:crossAx val="2083059896"/>
        <c:crosses val="autoZero"/>
        <c:auto val="1"/>
        <c:lblAlgn val="ctr"/>
        <c:lblOffset val="100"/>
        <c:noMultiLvlLbl val="0"/>
      </c:catAx>
      <c:valAx>
        <c:axId val="2083059896"/>
        <c:scaling>
          <c:orientation val="minMax"/>
        </c:scaling>
        <c:delete val="0"/>
        <c:axPos val="b"/>
        <c:majorGridlines/>
        <c:numFmt formatCode="_(* #,##0_);_(* \(#,##0\);_(* &quot;-&quot;??_);_(@_)" sourceLinked="1"/>
        <c:majorTickMark val="out"/>
        <c:minorTickMark val="none"/>
        <c:tickLblPos val="nextTo"/>
        <c:crossAx val="2083056952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'St. Joseph, MO'!$C$17:$N$17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'St. Joseph, MO'!$C$20:$N$20</c:f>
              <c:numCache>
                <c:formatCode>_(* #,##0_);_(* \(#,##0\);_(* "-"??_);_(@_)</c:formatCode>
                <c:ptCount val="12"/>
                <c:pt idx="0">
                  <c:v>362111.2199514141</c:v>
                </c:pt>
                <c:pt idx="1">
                  <c:v>371795.7090423329</c:v>
                </c:pt>
                <c:pt idx="2">
                  <c:v>459298.1286794456</c:v>
                </c:pt>
                <c:pt idx="3">
                  <c:v>551043.3432340284</c:v>
                </c:pt>
                <c:pt idx="4">
                  <c:v>354170.4704382375</c:v>
                </c:pt>
                <c:pt idx="5">
                  <c:v>265147.1266779833</c:v>
                </c:pt>
                <c:pt idx="6">
                  <c:v>198818.610126712</c:v>
                </c:pt>
                <c:pt idx="7">
                  <c:v>185196.2325122209</c:v>
                </c:pt>
                <c:pt idx="8">
                  <c:v>223365.5407011201</c:v>
                </c:pt>
                <c:pt idx="9">
                  <c:v>267755.1126039551</c:v>
                </c:pt>
                <c:pt idx="10">
                  <c:v>325054.7814075653</c:v>
                </c:pt>
                <c:pt idx="11">
                  <c:v>326545.8560677294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507464"/>
        <c:axId val="2082504440"/>
      </c:lineChart>
      <c:catAx>
        <c:axId val="208250746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2504440"/>
        <c:crosses val="autoZero"/>
        <c:auto val="1"/>
        <c:lblAlgn val="ctr"/>
        <c:lblOffset val="100"/>
        <c:noMultiLvlLbl val="0"/>
      </c:catAx>
      <c:valAx>
        <c:axId val="2082504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2507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'Sutherland, NE'!$C$17:$N$17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'Sutherland, NE'!$C$18:$N$18</c:f>
              <c:numCache>
                <c:formatCode>_(* #,##0_);_(* \(#,##0\);_(* "-"??_);_(@_)</c:formatCode>
                <c:ptCount val="12"/>
                <c:pt idx="0">
                  <c:v>497540.0549340001</c:v>
                </c:pt>
                <c:pt idx="1">
                  <c:v>689793.0090425998</c:v>
                </c:pt>
                <c:pt idx="2">
                  <c:v>978870.9209849998</c:v>
                </c:pt>
                <c:pt idx="3">
                  <c:v>1.2653522583471E6</c:v>
                </c:pt>
                <c:pt idx="4">
                  <c:v>1.51936200036E6</c:v>
                </c:pt>
                <c:pt idx="5">
                  <c:v>1.82824572285E6</c:v>
                </c:pt>
                <c:pt idx="6">
                  <c:v>1.942087002912E6</c:v>
                </c:pt>
                <c:pt idx="7">
                  <c:v>1.806426513738E6</c:v>
                </c:pt>
                <c:pt idx="8">
                  <c:v>1.498629316905E6</c:v>
                </c:pt>
                <c:pt idx="9">
                  <c:v>1.0960693435872E6</c:v>
                </c:pt>
                <c:pt idx="10">
                  <c:v>630990.0187458302</c:v>
                </c:pt>
                <c:pt idx="11">
                  <c:v>488331.6391209601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864888"/>
        <c:axId val="2083867896"/>
      </c:lineChart>
      <c:catAx>
        <c:axId val="208386488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867896"/>
        <c:crosses val="autoZero"/>
        <c:auto val="1"/>
        <c:lblAlgn val="ctr"/>
        <c:lblOffset val="100"/>
        <c:noMultiLvlLbl val="0"/>
      </c:catAx>
      <c:valAx>
        <c:axId val="2083867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864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'Sutherland, NE'!$C$20:$N$20</c:f>
              <c:numCache>
                <c:formatCode>_(* #,##0_);_(* \(#,##0\);_(* "-"??_);_(@_)</c:formatCode>
                <c:ptCount val="12"/>
                <c:pt idx="0">
                  <c:v>519898.9826756882</c:v>
                </c:pt>
                <c:pt idx="1">
                  <c:v>412260.1569565291</c:v>
                </c:pt>
                <c:pt idx="2">
                  <c:v>421043.8169006864</c:v>
                </c:pt>
                <c:pt idx="3">
                  <c:v>497821.3447329126</c:v>
                </c:pt>
                <c:pt idx="4">
                  <c:v>396758.9924884532</c:v>
                </c:pt>
                <c:pt idx="5">
                  <c:v>303230.2895827786</c:v>
                </c:pt>
                <c:pt idx="6">
                  <c:v>256152.6084153924</c:v>
                </c:pt>
                <c:pt idx="7">
                  <c:v>259982.0695310349</c:v>
                </c:pt>
                <c:pt idx="8">
                  <c:v>352596.3817668344</c:v>
                </c:pt>
                <c:pt idx="9">
                  <c:v>363713.4796680154</c:v>
                </c:pt>
                <c:pt idx="10">
                  <c:v>433549.26358493</c:v>
                </c:pt>
                <c:pt idx="11">
                  <c:v>464945.1739714351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898584"/>
        <c:axId val="2083901592"/>
      </c:lineChart>
      <c:catAx>
        <c:axId val="2083898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901592"/>
        <c:crosses val="autoZero"/>
        <c:auto val="1"/>
        <c:lblAlgn val="ctr"/>
        <c:lblOffset val="100"/>
        <c:noMultiLvlLbl val="0"/>
      </c:catAx>
      <c:valAx>
        <c:axId val="2083901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898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'Torrington, WY'!$C$17:$N$17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'Torrington, WY'!$C$18:$N$18</c:f>
              <c:numCache>
                <c:formatCode>_(* #,##0_);_(* \(#,##0\);_(* "-"??_);_(@_)</c:formatCode>
                <c:ptCount val="12"/>
                <c:pt idx="0">
                  <c:v>451684.23741</c:v>
                </c:pt>
                <c:pt idx="1">
                  <c:v>615785.0900058002</c:v>
                </c:pt>
                <c:pt idx="2">
                  <c:v>939915.6500825998</c:v>
                </c:pt>
                <c:pt idx="3">
                  <c:v>1.1850735340899E6</c:v>
                </c:pt>
                <c:pt idx="4">
                  <c:v>1.519694610255E6</c:v>
                </c:pt>
                <c:pt idx="5">
                  <c:v>1.787112965835E6</c:v>
                </c:pt>
                <c:pt idx="6">
                  <c:v>1.877937641163E6</c:v>
                </c:pt>
                <c:pt idx="7">
                  <c:v>1.76105852406E6</c:v>
                </c:pt>
                <c:pt idx="8">
                  <c:v>1.48100099247E6</c:v>
                </c:pt>
                <c:pt idx="9">
                  <c:v>1.0820287712196E6</c:v>
                </c:pt>
                <c:pt idx="10">
                  <c:v>568162.4487195604</c:v>
                </c:pt>
                <c:pt idx="11">
                  <c:v>410640.1763670002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943672"/>
        <c:axId val="2083946680"/>
      </c:lineChart>
      <c:catAx>
        <c:axId val="208394367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946680"/>
        <c:crosses val="autoZero"/>
        <c:auto val="1"/>
        <c:lblAlgn val="ctr"/>
        <c:lblOffset val="100"/>
        <c:noMultiLvlLbl val="0"/>
      </c:catAx>
      <c:valAx>
        <c:axId val="2083946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943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'Torrington, WY'!$C$20:$N$20</c:f>
              <c:numCache>
                <c:formatCode>_(* #,##0_);_(* \(#,##0\);_(* "-"??_);_(@_)</c:formatCode>
                <c:ptCount val="12"/>
                <c:pt idx="0">
                  <c:v>688051.02492302</c:v>
                </c:pt>
                <c:pt idx="1">
                  <c:v>509784.5028456476</c:v>
                </c:pt>
                <c:pt idx="2">
                  <c:v>415758.8101407816</c:v>
                </c:pt>
                <c:pt idx="3">
                  <c:v>468735.4693065335</c:v>
                </c:pt>
                <c:pt idx="4">
                  <c:v>314744.1568870342</c:v>
                </c:pt>
                <c:pt idx="5">
                  <c:v>279702.7901755925</c:v>
                </c:pt>
                <c:pt idx="6">
                  <c:v>238778.4349688554</c:v>
                </c:pt>
                <c:pt idx="7">
                  <c:v>253620.6405869959</c:v>
                </c:pt>
                <c:pt idx="8">
                  <c:v>358920.8311533488</c:v>
                </c:pt>
                <c:pt idx="9">
                  <c:v>428159.9011128783</c:v>
                </c:pt>
                <c:pt idx="10">
                  <c:v>572482.3599846116</c:v>
                </c:pt>
                <c:pt idx="11">
                  <c:v>630810.3760438228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976888"/>
        <c:axId val="2083979896"/>
      </c:lineChart>
      <c:catAx>
        <c:axId val="208397688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979896"/>
        <c:crosses val="autoZero"/>
        <c:auto val="1"/>
        <c:lblAlgn val="ctr"/>
        <c:lblOffset val="100"/>
        <c:noMultiLvlLbl val="0"/>
      </c:catAx>
      <c:valAx>
        <c:axId val="2083979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976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'Burley, ID'!$C$17:$N$17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'Burley, ID'!$C$18:$N$18</c:f>
              <c:numCache>
                <c:formatCode>_(* #,##0_);_(* \(#,##0\);_(* "-"??_);_(@_)</c:formatCode>
                <c:ptCount val="12"/>
                <c:pt idx="0">
                  <c:v>391670.76883536</c:v>
                </c:pt>
                <c:pt idx="1">
                  <c:v>596413.8897209999</c:v>
                </c:pt>
                <c:pt idx="2">
                  <c:v>1.019427154182E6</c:v>
                </c:pt>
                <c:pt idx="3">
                  <c:v>1.3427616679101E6</c:v>
                </c:pt>
                <c:pt idx="4">
                  <c:v>1.603711869732E6</c:v>
                </c:pt>
                <c:pt idx="5">
                  <c:v>1.979428007124E6</c:v>
                </c:pt>
                <c:pt idx="6">
                  <c:v>2.169303909183E6</c:v>
                </c:pt>
                <c:pt idx="7">
                  <c:v>2.012822040582E6</c:v>
                </c:pt>
                <c:pt idx="8">
                  <c:v>1.67125385241E6</c:v>
                </c:pt>
                <c:pt idx="9">
                  <c:v>1.1991074542596E6</c:v>
                </c:pt>
                <c:pt idx="10">
                  <c:v>542666.7915681599</c:v>
                </c:pt>
                <c:pt idx="11">
                  <c:v>368357.69781495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020424"/>
        <c:axId val="2084023432"/>
      </c:lineChart>
      <c:catAx>
        <c:axId val="208402042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023432"/>
        <c:crosses val="autoZero"/>
        <c:auto val="1"/>
        <c:lblAlgn val="ctr"/>
        <c:lblOffset val="100"/>
        <c:noMultiLvlLbl val="0"/>
      </c:catAx>
      <c:valAx>
        <c:axId val="2084023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020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'Burley, ID'!$C$20:$N$20</c:f>
              <c:numCache>
                <c:formatCode>_(* #,##0_);_(* \(#,##0\);_(* "-"??_);_(@_)</c:formatCode>
                <c:ptCount val="12"/>
                <c:pt idx="0">
                  <c:v>211971.5940915271</c:v>
                </c:pt>
                <c:pt idx="1">
                  <c:v>208630.5976620305</c:v>
                </c:pt>
                <c:pt idx="2">
                  <c:v>194558.3578135723</c:v>
                </c:pt>
                <c:pt idx="3">
                  <c:v>233962.882008678</c:v>
                </c:pt>
                <c:pt idx="4">
                  <c:v>229212.513196444</c:v>
                </c:pt>
                <c:pt idx="5">
                  <c:v>223365.5407011201</c:v>
                </c:pt>
                <c:pt idx="6">
                  <c:v>237568.4114235745</c:v>
                </c:pt>
                <c:pt idx="7">
                  <c:v>229212.513196444</c:v>
                </c:pt>
                <c:pt idx="8">
                  <c:v>230394.0186769996</c:v>
                </c:pt>
                <c:pt idx="9">
                  <c:v>211971.5940915271</c:v>
                </c:pt>
                <c:pt idx="10">
                  <c:v>252360.9377262356</c:v>
                </c:pt>
                <c:pt idx="11">
                  <c:v>228035.0539635728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054840"/>
        <c:axId val="2084057848"/>
      </c:lineChart>
      <c:catAx>
        <c:axId val="2084054840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057848"/>
        <c:crosses val="autoZero"/>
        <c:auto val="1"/>
        <c:lblAlgn val="ctr"/>
        <c:lblOffset val="100"/>
        <c:noMultiLvlLbl val="0"/>
      </c:catAx>
      <c:valAx>
        <c:axId val="2084057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054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'Yuma, CO'!$C$17:$N$17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'Yuma, CO'!$C$18:$N$18</c:f>
              <c:numCache>
                <c:formatCode>_(* #,##0_);_(* \(#,##0\);_(* "-"??_);_(@_)</c:formatCode>
                <c:ptCount val="12"/>
                <c:pt idx="0">
                  <c:v>549943.4091110401</c:v>
                </c:pt>
                <c:pt idx="1">
                  <c:v>718632.5043384004</c:v>
                </c:pt>
                <c:pt idx="2">
                  <c:v>1.0714894723467E6</c:v>
                </c:pt>
                <c:pt idx="3">
                  <c:v>1.3542810572736E6</c:v>
                </c:pt>
                <c:pt idx="4">
                  <c:v>1.592514003267E6</c:v>
                </c:pt>
                <c:pt idx="5">
                  <c:v>1.895809879521E6</c:v>
                </c:pt>
                <c:pt idx="6">
                  <c:v>1.959427065438E6</c:v>
                </c:pt>
                <c:pt idx="7">
                  <c:v>1.841749684587E6</c:v>
                </c:pt>
                <c:pt idx="8">
                  <c:v>1.57612742244E6</c:v>
                </c:pt>
                <c:pt idx="9">
                  <c:v>1.1760287623452E6</c:v>
                </c:pt>
                <c:pt idx="10">
                  <c:v>697327.7318640002</c:v>
                </c:pt>
                <c:pt idx="11">
                  <c:v>529229.7952900201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099672"/>
        <c:axId val="2084102680"/>
      </c:lineChart>
      <c:catAx>
        <c:axId val="208409967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102680"/>
        <c:crosses val="autoZero"/>
        <c:auto val="1"/>
        <c:lblAlgn val="ctr"/>
        <c:lblOffset val="100"/>
        <c:noMultiLvlLbl val="0"/>
      </c:catAx>
      <c:valAx>
        <c:axId val="2084102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099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'Yuma, CO'!$C$20:$N$20</c:f>
              <c:numCache>
                <c:formatCode>_(* #,##0_);_(* \(#,##0\);_(* "-"??_);_(@_)</c:formatCode>
                <c:ptCount val="12"/>
                <c:pt idx="0">
                  <c:v>476377.7461678421</c:v>
                </c:pt>
                <c:pt idx="1">
                  <c:v>446299.9073265315</c:v>
                </c:pt>
                <c:pt idx="2">
                  <c:v>484102.6414381288</c:v>
                </c:pt>
                <c:pt idx="3">
                  <c:v>617014.2885512589</c:v>
                </c:pt>
                <c:pt idx="4">
                  <c:v>482163.6478533484</c:v>
                </c:pt>
                <c:pt idx="5">
                  <c:v>341708.1571244628</c:v>
                </c:pt>
                <c:pt idx="6">
                  <c:v>253620.6405869959</c:v>
                </c:pt>
                <c:pt idx="7">
                  <c:v>243659.6162619714</c:v>
                </c:pt>
                <c:pt idx="8">
                  <c:v>297580.1824218297</c:v>
                </c:pt>
                <c:pt idx="9">
                  <c:v>314744.1568870342</c:v>
                </c:pt>
                <c:pt idx="10">
                  <c:v>358920.8311533488</c:v>
                </c:pt>
                <c:pt idx="11">
                  <c:v>400169.5096532488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134088"/>
        <c:axId val="2084137096"/>
      </c:lineChart>
      <c:catAx>
        <c:axId val="208413408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137096"/>
        <c:crosses val="autoZero"/>
        <c:auto val="1"/>
        <c:lblAlgn val="ctr"/>
        <c:lblOffset val="100"/>
        <c:noMultiLvlLbl val="0"/>
      </c:catAx>
      <c:valAx>
        <c:axId val="2084137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134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'Russell, KS'!$C$17:$N$17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'Russell, KS'!$C$18:$N$18</c:f>
              <c:numCache>
                <c:formatCode>_(* #,##0_);_(* \(#,##0\);_(* "-"??_);_(@_)</c:formatCode>
                <c:ptCount val="12"/>
                <c:pt idx="0">
                  <c:v>761370.6584466</c:v>
                </c:pt>
                <c:pt idx="1">
                  <c:v>784569.0899232</c:v>
                </c:pt>
                <c:pt idx="2">
                  <c:v>1.1171856371211E6</c:v>
                </c:pt>
                <c:pt idx="3">
                  <c:v>1.307733411168E6</c:v>
                </c:pt>
                <c:pt idx="4">
                  <c:v>1.466233113132E6</c:v>
                </c:pt>
                <c:pt idx="5">
                  <c:v>1.634844155904E6</c:v>
                </c:pt>
                <c:pt idx="6">
                  <c:v>1.836849232134E6</c:v>
                </c:pt>
                <c:pt idx="7">
                  <c:v>1.761590699892E6</c:v>
                </c:pt>
                <c:pt idx="8">
                  <c:v>1.582158748536E6</c:v>
                </c:pt>
                <c:pt idx="9">
                  <c:v>1.302322956876E6</c:v>
                </c:pt>
                <c:pt idx="10">
                  <c:v>913271.3800938</c:v>
                </c:pt>
                <c:pt idx="11">
                  <c:v>738039.1830120002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179368"/>
        <c:axId val="2084182376"/>
      </c:lineChart>
      <c:catAx>
        <c:axId val="208417936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182376"/>
        <c:crosses val="autoZero"/>
        <c:auto val="1"/>
        <c:lblAlgn val="ctr"/>
        <c:lblOffset val="100"/>
        <c:noMultiLvlLbl val="0"/>
      </c:catAx>
      <c:valAx>
        <c:axId val="2084182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179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'User Input Location'!$C$17:$N$17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'User Input Location'!$C$18:$N$18</c:f>
              <c:numCache>
                <c:formatCode>_(* #,##0_);_(* \(#,##0\);_(* "-"??_);_(@_)</c:formatCode>
                <c:ptCount val="12"/>
                <c:pt idx="0">
                  <c:v>1.025192392362E6</c:v>
                </c:pt>
                <c:pt idx="1">
                  <c:v>1.1810844327492E6</c:v>
                </c:pt>
                <c:pt idx="2">
                  <c:v>1.5882676836075E6</c:v>
                </c:pt>
                <c:pt idx="3">
                  <c:v>1.83911097942E6</c:v>
                </c:pt>
                <c:pt idx="4">
                  <c:v>1.834321396932E6</c:v>
                </c:pt>
                <c:pt idx="5">
                  <c:v>1.871839793088E6</c:v>
                </c:pt>
                <c:pt idx="6">
                  <c:v>1.958673149676E6</c:v>
                </c:pt>
                <c:pt idx="7">
                  <c:v>1.85729365368E6</c:v>
                </c:pt>
                <c:pt idx="8">
                  <c:v>1.774983791664E6</c:v>
                </c:pt>
                <c:pt idx="9">
                  <c:v>1.605463615179E6</c:v>
                </c:pt>
                <c:pt idx="10">
                  <c:v>1.2352333236552E6</c:v>
                </c:pt>
                <c:pt idx="11">
                  <c:v>989610.22927476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125224"/>
        <c:axId val="2083128232"/>
      </c:lineChart>
      <c:catAx>
        <c:axId val="208312522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128232"/>
        <c:crosses val="autoZero"/>
        <c:auto val="1"/>
        <c:lblAlgn val="ctr"/>
        <c:lblOffset val="100"/>
        <c:noMultiLvlLbl val="0"/>
      </c:catAx>
      <c:valAx>
        <c:axId val="2083128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125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'Russell, KS'!$C$20:$N$20</c:f>
              <c:numCache>
                <c:formatCode>_(* #,##0_);_(* \(#,##0\);_(* "-"??_);_(@_)</c:formatCode>
                <c:ptCount val="12"/>
                <c:pt idx="0">
                  <c:v>491910.5993023878</c:v>
                </c:pt>
                <c:pt idx="1">
                  <c:v>517865.4817929362</c:v>
                </c:pt>
                <c:pt idx="2">
                  <c:v>685599.5390200472</c:v>
                </c:pt>
                <c:pt idx="3">
                  <c:v>863086.890056419</c:v>
                </c:pt>
                <c:pt idx="4">
                  <c:v>642462.9852251515</c:v>
                </c:pt>
                <c:pt idx="5">
                  <c:v>519898.9826756882</c:v>
                </c:pt>
                <c:pt idx="6">
                  <c:v>424591.9203675303</c:v>
                </c:pt>
                <c:pt idx="7">
                  <c:v>384974.8536525537</c:v>
                </c:pt>
                <c:pt idx="8">
                  <c:v>446299.9073265315</c:v>
                </c:pt>
                <c:pt idx="9">
                  <c:v>457425.991876729</c:v>
                </c:pt>
                <c:pt idx="10">
                  <c:v>478301.2071585957</c:v>
                </c:pt>
                <c:pt idx="11">
                  <c:v>468735.4693065335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213896"/>
        <c:axId val="2084216904"/>
      </c:lineChart>
      <c:catAx>
        <c:axId val="208421389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216904"/>
        <c:crosses val="autoZero"/>
        <c:auto val="1"/>
        <c:lblAlgn val="ctr"/>
        <c:lblOffset val="100"/>
        <c:noMultiLvlLbl val="0"/>
      </c:catAx>
      <c:valAx>
        <c:axId val="2084216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213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'Arkalon, KS'!$C$17:$N$17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'Arkalon, KS'!$C$18:$N$18</c:f>
              <c:numCache>
                <c:formatCode>_(* #,##0_);_(* \(#,##0\);_(* "-"??_);_(@_)</c:formatCode>
                <c:ptCount val="12"/>
                <c:pt idx="0">
                  <c:v>803117.19158784</c:v>
                </c:pt>
                <c:pt idx="1">
                  <c:v>875819.5059168</c:v>
                </c:pt>
                <c:pt idx="2">
                  <c:v>1.2354750201789E6</c:v>
                </c:pt>
                <c:pt idx="3">
                  <c:v>1.481289254379E6</c:v>
                </c:pt>
                <c:pt idx="4">
                  <c:v>1.591671391533E6</c:v>
                </c:pt>
                <c:pt idx="5">
                  <c:v>1.70917138044E6</c:v>
                </c:pt>
                <c:pt idx="6">
                  <c:v>1.893304218312E6</c:v>
                </c:pt>
                <c:pt idx="7">
                  <c:v>1.784673826605E6</c:v>
                </c:pt>
                <c:pt idx="8">
                  <c:v>1.646374632264E6</c:v>
                </c:pt>
                <c:pt idx="9">
                  <c:v>1.384366730976E6</c:v>
                </c:pt>
                <c:pt idx="10">
                  <c:v>985004.2474488002</c:v>
                </c:pt>
                <c:pt idx="11">
                  <c:v>759180.7548979201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258920"/>
        <c:axId val="2084261928"/>
      </c:lineChart>
      <c:catAx>
        <c:axId val="2084258920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261928"/>
        <c:crosses val="autoZero"/>
        <c:auto val="1"/>
        <c:lblAlgn val="ctr"/>
        <c:lblOffset val="100"/>
        <c:noMultiLvlLbl val="0"/>
      </c:catAx>
      <c:valAx>
        <c:axId val="2084261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258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'Arkalon, KS'!$C$20:$N$20</c:f>
              <c:numCache>
                <c:formatCode>_(* #,##0_);_(* \(#,##0\);_(* "-"??_);_(@_)</c:formatCode>
                <c:ptCount val="12"/>
                <c:pt idx="0">
                  <c:v>565993.3273335833</c:v>
                </c:pt>
                <c:pt idx="1">
                  <c:v>594470.361626842</c:v>
                </c:pt>
                <c:pt idx="2">
                  <c:v>774919.9072040102</c:v>
                </c:pt>
                <c:pt idx="3">
                  <c:v>969991.0719668126</c:v>
                </c:pt>
                <c:pt idx="4">
                  <c:v>764340.9428938687</c:v>
                </c:pt>
                <c:pt idx="5">
                  <c:v>640121.0811484017</c:v>
                </c:pt>
                <c:pt idx="6">
                  <c:v>551043.3432340284</c:v>
                </c:pt>
                <c:pt idx="7">
                  <c:v>486046.8264350323</c:v>
                </c:pt>
                <c:pt idx="8">
                  <c:v>561694.662272273</c:v>
                </c:pt>
                <c:pt idx="9">
                  <c:v>551043.3432340284</c:v>
                </c:pt>
                <c:pt idx="10">
                  <c:v>553162.7383900931</c:v>
                </c:pt>
                <c:pt idx="11">
                  <c:v>538440.558729205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293336"/>
        <c:axId val="2084296344"/>
      </c:lineChart>
      <c:catAx>
        <c:axId val="208429333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296344"/>
        <c:crosses val="autoZero"/>
        <c:auto val="1"/>
        <c:lblAlgn val="ctr"/>
        <c:lblOffset val="100"/>
        <c:noMultiLvlLbl val="0"/>
      </c:catAx>
      <c:valAx>
        <c:axId val="2084296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293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'Plainview, TX'!$C$17:$N$17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'Plainview, TX'!$C$18:$N$18</c:f>
              <c:numCache>
                <c:formatCode>_(* #,##0_);_(* \(#,##0\);_(* "-"??_);_(@_)</c:formatCode>
                <c:ptCount val="12"/>
                <c:pt idx="0">
                  <c:v>979653.6629379001</c:v>
                </c:pt>
                <c:pt idx="1">
                  <c:v>1.092468287124E6</c:v>
                </c:pt>
                <c:pt idx="2">
                  <c:v>1.5006338458722E6</c:v>
                </c:pt>
                <c:pt idx="3">
                  <c:v>1.75551502581E6</c:v>
                </c:pt>
                <c:pt idx="4">
                  <c:v>1.726067963106E6</c:v>
                </c:pt>
                <c:pt idx="5">
                  <c:v>1.821903960852E6</c:v>
                </c:pt>
                <c:pt idx="6">
                  <c:v>1.946521801512E6</c:v>
                </c:pt>
                <c:pt idx="7">
                  <c:v>1.826338759452E6</c:v>
                </c:pt>
                <c:pt idx="8">
                  <c:v>1.675289519136E6</c:v>
                </c:pt>
                <c:pt idx="9">
                  <c:v>1.553975603433E6</c:v>
                </c:pt>
                <c:pt idx="10">
                  <c:v>1.1440538644392E6</c:v>
                </c:pt>
                <c:pt idx="11">
                  <c:v>923247.0160646402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338200"/>
        <c:axId val="2084341208"/>
      </c:lineChart>
      <c:catAx>
        <c:axId val="2084338200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341208"/>
        <c:crosses val="autoZero"/>
        <c:auto val="1"/>
        <c:lblAlgn val="ctr"/>
        <c:lblOffset val="100"/>
        <c:noMultiLvlLbl val="0"/>
      </c:catAx>
      <c:valAx>
        <c:axId val="2084341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338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'Plainview, TX'!$C$20:$N$20</c:f>
              <c:numCache>
                <c:formatCode>_(* #,##0_);_(* \(#,##0\);_(* "-"??_);_(@_)</c:formatCode>
                <c:ptCount val="12"/>
                <c:pt idx="0">
                  <c:v>491910.5993023878</c:v>
                </c:pt>
                <c:pt idx="1">
                  <c:v>557417.8177988176</c:v>
                </c:pt>
                <c:pt idx="2">
                  <c:v>688051.02492302</c:v>
                </c:pt>
                <c:pt idx="3">
                  <c:v>812714.3753104755</c:v>
                </c:pt>
                <c:pt idx="4">
                  <c:v>680714.0500578702</c:v>
                </c:pt>
                <c:pt idx="5">
                  <c:v>596699.6231651414</c:v>
                </c:pt>
                <c:pt idx="6">
                  <c:v>470638.3173373858</c:v>
                </c:pt>
                <c:pt idx="7">
                  <c:v>398461.8184639669</c:v>
                </c:pt>
                <c:pt idx="8">
                  <c:v>470638.3173373858</c:v>
                </c:pt>
                <c:pt idx="9">
                  <c:v>486046.8264350323</c:v>
                </c:pt>
                <c:pt idx="10">
                  <c:v>513814.401283329</c:v>
                </c:pt>
                <c:pt idx="11">
                  <c:v>482163.6478533484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372888"/>
        <c:axId val="2084375896"/>
      </c:lineChart>
      <c:catAx>
        <c:axId val="208437288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375896"/>
        <c:crosses val="autoZero"/>
        <c:auto val="1"/>
        <c:lblAlgn val="ctr"/>
        <c:lblOffset val="100"/>
        <c:noMultiLvlLbl val="0"/>
      </c:catAx>
      <c:valAx>
        <c:axId val="2084375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372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'Imperial Valley, CA'!$C$17:$N$17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'Imperial Valley, CA'!$C$18:$N$18</c:f>
              <c:numCache>
                <c:formatCode>_(* #,##0_);_(* \(#,##0\);_(* "-"??_);_(@_)</c:formatCode>
                <c:ptCount val="12"/>
                <c:pt idx="0">
                  <c:v>1.185155577864E6</c:v>
                </c:pt>
                <c:pt idx="1">
                  <c:v>1.38764848194E6</c:v>
                </c:pt>
                <c:pt idx="2">
                  <c:v>1.754694588069E6</c:v>
                </c:pt>
                <c:pt idx="3">
                  <c:v>1.906320352203E6</c:v>
                </c:pt>
                <c:pt idx="4">
                  <c:v>2.026082088396E6</c:v>
                </c:pt>
                <c:pt idx="5">
                  <c:v>2.076638792436E6</c:v>
                </c:pt>
                <c:pt idx="6">
                  <c:v>2.03645951712E6</c:v>
                </c:pt>
                <c:pt idx="7">
                  <c:v>2.004662011158E6</c:v>
                </c:pt>
                <c:pt idx="8">
                  <c:v>1.93268522988E6</c:v>
                </c:pt>
                <c:pt idx="9">
                  <c:v>1.71959315715E6</c:v>
                </c:pt>
                <c:pt idx="10">
                  <c:v>1.37589626565E6</c:v>
                </c:pt>
                <c:pt idx="11">
                  <c:v>1.15127371656E6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417816"/>
        <c:axId val="2084420824"/>
      </c:lineChart>
      <c:catAx>
        <c:axId val="208441781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420824"/>
        <c:crosses val="autoZero"/>
        <c:auto val="1"/>
        <c:lblAlgn val="ctr"/>
        <c:lblOffset val="100"/>
        <c:noMultiLvlLbl val="0"/>
      </c:catAx>
      <c:valAx>
        <c:axId val="2084420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417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'Imperial Valley, CA'!$C$20:$N$20</c:f>
              <c:numCache>
                <c:formatCode>_(* #,##0_);_(* \(#,##0\);_(* "-"??_);_(@_)</c:formatCode>
                <c:ptCount val="12"/>
                <c:pt idx="0">
                  <c:v>213093.1345978244</c:v>
                </c:pt>
                <c:pt idx="1">
                  <c:v>206422.8848796234</c:v>
                </c:pt>
                <c:pt idx="2">
                  <c:v>197747.7761136938</c:v>
                </c:pt>
                <c:pt idx="3">
                  <c:v>223365.5407011201</c:v>
                </c:pt>
                <c:pt idx="4">
                  <c:v>293388.9742705051</c:v>
                </c:pt>
                <c:pt idx="5">
                  <c:v>277017.6618087778</c:v>
                </c:pt>
                <c:pt idx="6">
                  <c:v>188282.7734033804</c:v>
                </c:pt>
                <c:pt idx="7">
                  <c:v>143725.6546892713</c:v>
                </c:pt>
                <c:pt idx="8">
                  <c:v>163585.8852807881</c:v>
                </c:pt>
                <c:pt idx="9">
                  <c:v>143725.6546892713</c:v>
                </c:pt>
                <c:pt idx="10">
                  <c:v>204230.8018567106</c:v>
                </c:pt>
                <c:pt idx="11">
                  <c:v>200971.8616645584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452152"/>
        <c:axId val="2084455160"/>
      </c:lineChart>
      <c:catAx>
        <c:axId val="208445215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455160"/>
        <c:crosses val="autoZero"/>
        <c:auto val="1"/>
        <c:lblAlgn val="ctr"/>
        <c:lblOffset val="100"/>
        <c:noMultiLvlLbl val="0"/>
      </c:catAx>
      <c:valAx>
        <c:axId val="2084455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452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'Stockton, CA'!$C$17:$N$17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'Stockton, CA'!$C$18:$N$18</c:f>
              <c:numCache>
                <c:formatCode>_(* #,##0_);_(* \(#,##0\);_(* "-"??_);_(@_)</c:formatCode>
                <c:ptCount val="12"/>
                <c:pt idx="0">
                  <c:v>935377.52067522</c:v>
                </c:pt>
                <c:pt idx="1">
                  <c:v>1.144532822688E6</c:v>
                </c:pt>
                <c:pt idx="2">
                  <c:v>1.514838505788E6</c:v>
                </c:pt>
                <c:pt idx="3">
                  <c:v>1.805583902004E6</c:v>
                </c:pt>
                <c:pt idx="4">
                  <c:v>1.90075467996E6</c:v>
                </c:pt>
                <c:pt idx="5">
                  <c:v>2.006391582612E6</c:v>
                </c:pt>
                <c:pt idx="6">
                  <c:v>1.99543763007E6</c:v>
                </c:pt>
                <c:pt idx="7">
                  <c:v>1.986257596968E6</c:v>
                </c:pt>
                <c:pt idx="8">
                  <c:v>1.9113981966E6</c:v>
                </c:pt>
                <c:pt idx="9">
                  <c:v>1.701809614764E6</c:v>
                </c:pt>
                <c:pt idx="10">
                  <c:v>1.185399491787E6</c:v>
                </c:pt>
                <c:pt idx="11">
                  <c:v>867668.34609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496968"/>
        <c:axId val="2084499976"/>
      </c:lineChart>
      <c:catAx>
        <c:axId val="208449696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499976"/>
        <c:crosses val="autoZero"/>
        <c:auto val="1"/>
        <c:lblAlgn val="ctr"/>
        <c:lblOffset val="100"/>
        <c:noMultiLvlLbl val="0"/>
      </c:catAx>
      <c:valAx>
        <c:axId val="2084499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496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'Stockton, CA'!$C$20:$N$20</c:f>
              <c:numCache>
                <c:formatCode>_(* #,##0_);_(* \(#,##0\);_(* "-"??_);_(@_)</c:formatCode>
                <c:ptCount val="12"/>
                <c:pt idx="0">
                  <c:v>127925.2784177347</c:v>
                </c:pt>
                <c:pt idx="1">
                  <c:v>170268.545574005</c:v>
                </c:pt>
                <c:pt idx="2">
                  <c:v>194558.3578135723</c:v>
                </c:pt>
                <c:pt idx="3">
                  <c:v>235160.6418838761</c:v>
                </c:pt>
                <c:pt idx="4">
                  <c:v>293388.9742705051</c:v>
                </c:pt>
                <c:pt idx="5">
                  <c:v>307514.4850865466</c:v>
                </c:pt>
                <c:pt idx="6">
                  <c:v>259982.0695310349</c:v>
                </c:pt>
                <c:pt idx="7">
                  <c:v>202054.2930701675</c:v>
                </c:pt>
                <c:pt idx="8">
                  <c:v>170268.545574005</c:v>
                </c:pt>
                <c:pt idx="9">
                  <c:v>123187.7955972686</c:v>
                </c:pt>
                <c:pt idx="10">
                  <c:v>130338.8998633893</c:v>
                </c:pt>
                <c:pt idx="11">
                  <c:v>136923.2298601791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1224264"/>
        <c:axId val="2081227320"/>
      </c:lineChart>
      <c:catAx>
        <c:axId val="2081224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1227320"/>
        <c:crosses val="autoZero"/>
        <c:auto val="1"/>
        <c:lblAlgn val="ctr"/>
        <c:lblOffset val="100"/>
        <c:noMultiLvlLbl val="0"/>
      </c:catAx>
      <c:valAx>
        <c:axId val="2081227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1224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'Maricopa, AZ'!$C$17:$N$17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'Maricopa, AZ'!$C$18:$N$18</c:f>
              <c:numCache>
                <c:formatCode>_(* #,##0_);_(* \(#,##0\);_(* "-"??_);_(@_)</c:formatCode>
                <c:ptCount val="12"/>
                <c:pt idx="0">
                  <c:v>1.2559615723116E6</c:v>
                </c:pt>
                <c:pt idx="1">
                  <c:v>1.463483538E6</c:v>
                </c:pt>
                <c:pt idx="2">
                  <c:v>1.805739119955E6</c:v>
                </c:pt>
                <c:pt idx="3">
                  <c:v>1.995526326042E6</c:v>
                </c:pt>
                <c:pt idx="4">
                  <c:v>2.062314392958E6</c:v>
                </c:pt>
                <c:pt idx="5">
                  <c:v>2.102914974141E6</c:v>
                </c:pt>
                <c:pt idx="6">
                  <c:v>2.007788544171E6</c:v>
                </c:pt>
                <c:pt idx="7">
                  <c:v>1.880687216295E6</c:v>
                </c:pt>
                <c:pt idx="8">
                  <c:v>1.908559925496E6</c:v>
                </c:pt>
                <c:pt idx="9">
                  <c:v>1.744294985352E6</c:v>
                </c:pt>
                <c:pt idx="10">
                  <c:v>1.42268339088E6</c:v>
                </c:pt>
                <c:pt idx="11">
                  <c:v>1.194379958952E6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540856"/>
        <c:axId val="2084543864"/>
      </c:lineChart>
      <c:catAx>
        <c:axId val="208454085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543864"/>
        <c:crosses val="autoZero"/>
        <c:auto val="1"/>
        <c:lblAlgn val="ctr"/>
        <c:lblOffset val="100"/>
        <c:noMultiLvlLbl val="0"/>
      </c:catAx>
      <c:valAx>
        <c:axId val="2084543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4540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'User Input Location'!$C$17:$M$17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'User Input Location'!$C$20:$N$20</c:f>
              <c:numCache>
                <c:formatCode>_(* #,##0_);_(* \(#,##0\);_(* "-"??_);_(@_)</c:formatCode>
                <c:ptCount val="12"/>
                <c:pt idx="0">
                  <c:v>449988.3177285148</c:v>
                </c:pt>
                <c:pt idx="1">
                  <c:v>501788.0300935637</c:v>
                </c:pt>
                <c:pt idx="2">
                  <c:v>610192.3253660673</c:v>
                </c:pt>
                <c:pt idx="3">
                  <c:v>730624.9895040798</c:v>
                </c:pt>
                <c:pt idx="4">
                  <c:v>623886.909646996</c:v>
                </c:pt>
                <c:pt idx="5">
                  <c:v>551043.3432340284</c:v>
                </c:pt>
                <c:pt idx="6">
                  <c:v>429951.3628159678</c:v>
                </c:pt>
                <c:pt idx="7">
                  <c:v>358920.8311533488</c:v>
                </c:pt>
                <c:pt idx="8">
                  <c:v>433549.26358493</c:v>
                </c:pt>
                <c:pt idx="9">
                  <c:v>438983.6622511903</c:v>
                </c:pt>
                <c:pt idx="10">
                  <c:v>468735.4693065335</c:v>
                </c:pt>
                <c:pt idx="11">
                  <c:v>431747.8146598548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159128"/>
        <c:axId val="2083162136"/>
      </c:lineChart>
      <c:catAx>
        <c:axId val="208315912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162136"/>
        <c:crosses val="autoZero"/>
        <c:auto val="1"/>
        <c:lblAlgn val="ctr"/>
        <c:lblOffset val="100"/>
        <c:noMultiLvlLbl val="0"/>
      </c:catAx>
      <c:valAx>
        <c:axId val="2083162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159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'Watertown, SD'!$C$17:$N$17</c:f>
              <c:strCache>
                <c:ptCount val="1"/>
                <c:pt idx="0">
                  <c:v>Jan Feb Mar Apr May Jun Jul Aug Sep Oct Nov Dec</c:v>
                </c:pt>
              </c:strCache>
            </c:strRef>
          </c:tx>
          <c:cat>
            <c:strRef>
              <c:f>'Watertown, SD'!$C$17:$N$17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'Maricopa, AZ'!$C$20:$N$20</c:f>
              <c:numCache>
                <c:formatCode>_(* #,##0_);_(* \(#,##0\);_(* "-"??_);_(@_)</c:formatCode>
                <c:ptCount val="12"/>
                <c:pt idx="0">
                  <c:v>308951.4663428487</c:v>
                </c:pt>
                <c:pt idx="1">
                  <c:v>275681.5660693531</c:v>
                </c:pt>
                <c:pt idx="2">
                  <c:v>261266.986830624</c:v>
                </c:pt>
                <c:pt idx="3">
                  <c:v>316203.5556047776</c:v>
                </c:pt>
                <c:pt idx="4">
                  <c:v>310392.9172106578</c:v>
                </c:pt>
                <c:pt idx="5">
                  <c:v>300396.3800639761</c:v>
                </c:pt>
                <c:pt idx="6">
                  <c:v>179124.7164050519</c:v>
                </c:pt>
                <c:pt idx="7">
                  <c:v>131964.7303029934</c:v>
                </c:pt>
                <c:pt idx="8">
                  <c:v>206422.8848796234</c:v>
                </c:pt>
                <c:pt idx="9">
                  <c:v>229212.513196444</c:v>
                </c:pt>
                <c:pt idx="10">
                  <c:v>314744.1568870342</c:v>
                </c:pt>
                <c:pt idx="11">
                  <c:v>283762.9290515848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832792"/>
        <c:axId val="2083829768"/>
      </c:lineChart>
      <c:catAx>
        <c:axId val="208383279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829768"/>
        <c:crosses val="autoZero"/>
        <c:auto val="1"/>
        <c:lblAlgn val="ctr"/>
        <c:lblOffset val="100"/>
        <c:noMultiLvlLbl val="0"/>
      </c:catAx>
      <c:valAx>
        <c:axId val="2083829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832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Cumulative Cost Savigns</a:t>
            </a:r>
            <a:r>
              <a:rPr lang="en-US" baseline="0"/>
              <a:t> For Solar Array Lifespan</a:t>
            </a:r>
            <a:endParaRPr lang="en-US"/>
          </a:p>
        </c:rich>
      </c:tx>
      <c:layout>
        <c:manualLayout>
          <c:xMode val="edge"/>
          <c:yMode val="edge"/>
          <c:x val="0.473132093856161"/>
          <c:y val="0.0262773722627737"/>
        </c:manualLayout>
      </c:layout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INPUTS!$C$108</c:f>
              <c:strCache>
                <c:ptCount val="1"/>
                <c:pt idx="0">
                  <c:v>Town, USA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INPUTS!$D$108:$AH$108</c:f>
              <c:numCache>
                <c:formatCode>"$"#,##0</c:formatCode>
                <c:ptCount val="31"/>
                <c:pt idx="0">
                  <c:v>-1.1E6</c:v>
                </c:pt>
                <c:pt idx="1">
                  <c:v>-1.01108495525456E6</c:v>
                </c:pt>
                <c:pt idx="2">
                  <c:v>-919235.7140325222</c:v>
                </c:pt>
                <c:pt idx="3">
                  <c:v>-824355.4478501562</c:v>
                </c:pt>
                <c:pt idx="4">
                  <c:v>-726344.1328837722</c:v>
                </c:pt>
                <c:pt idx="5">
                  <c:v>-625098.4445234976</c:v>
                </c:pt>
                <c:pt idx="6">
                  <c:v>-520511.6484473338</c:v>
                </c:pt>
                <c:pt idx="7">
                  <c:v>-412473.4881006567</c:v>
                </c:pt>
                <c:pt idx="8">
                  <c:v>-300870.0684625392</c:v>
                </c:pt>
                <c:pt idx="9">
                  <c:v>-185583.7359763639</c:v>
                </c:pt>
                <c:pt idx="10">
                  <c:v>-66492.95451814474</c:v>
                </c:pt>
                <c:pt idx="11">
                  <c:v>56527.82272819561</c:v>
                </c:pt>
                <c:pt idx="12">
                  <c:v>183608.2856236652</c:v>
                </c:pt>
                <c:pt idx="13">
                  <c:v>314882.4037946853</c:v>
                </c:pt>
                <c:pt idx="14">
                  <c:v>450488.567865349</c:v>
                </c:pt>
                <c:pt idx="15">
                  <c:v>590569.7353503447</c:v>
                </c:pt>
                <c:pt idx="16">
                  <c:v>735273.5813623452</c:v>
                </c:pt>
                <c:pt idx="17">
                  <c:v>884752.6542927417</c:v>
                </c:pt>
                <c:pt idx="18">
                  <c:v>1.03916453662984E6</c:v>
                </c:pt>
                <c:pt idx="19">
                  <c:v>1.19867201108407E6</c:v>
                </c:pt>
                <c:pt idx="20">
                  <c:v>1.36344323219528E6</c:v>
                </c:pt>
                <c:pt idx="21">
                  <c:v>1.53365190360316E6</c:v>
                </c:pt>
                <c:pt idx="22">
                  <c:v>1.70947746116751E6</c:v>
                </c:pt>
                <c:pt idx="23">
                  <c:v>1.89110526213147E6</c:v>
                </c:pt>
                <c:pt idx="24">
                  <c:v>2.07872678052725E6</c:v>
                </c:pt>
                <c:pt idx="25">
                  <c:v>2.27253980903009E6</c:v>
                </c:pt>
                <c:pt idx="26">
                  <c:v>2.47274866747352E6</c:v>
                </c:pt>
                <c:pt idx="27">
                  <c:v>2.67956441824559E6</c:v>
                </c:pt>
                <c:pt idx="28">
                  <c:v>2.89320508879313E6</c:v>
                </c:pt>
                <c:pt idx="29">
                  <c:v>3.11389590146874E6</c:v>
                </c:pt>
                <c:pt idx="30">
                  <c:v>3.34186951096265E6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INPUTS!$C$109</c:f>
              <c:strCache>
                <c:ptCount val="1"/>
                <c:pt idx="0">
                  <c:v>City, USA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INPUTS!$D$109:$AH$109</c:f>
              <c:numCache>
                <c:formatCode>"$"#,##0</c:formatCode>
                <c:ptCount val="31"/>
                <c:pt idx="0">
                  <c:v>-1.1E6</c:v>
                </c:pt>
                <c:pt idx="1">
                  <c:v>-1.04811973033175E6</c:v>
                </c:pt>
                <c:pt idx="2">
                  <c:v>-994527.411764455</c:v>
                </c:pt>
                <c:pt idx="3">
                  <c:v>-939166.5466844354</c:v>
                </c:pt>
                <c:pt idx="4">
                  <c:v>-881978.7730567753</c:v>
                </c:pt>
                <c:pt idx="5">
                  <c:v>-822903.8028994024</c:v>
                </c:pt>
                <c:pt idx="6">
                  <c:v>-761879.358726836</c:v>
                </c:pt>
                <c:pt idx="7">
                  <c:v>-698841.1078965755</c:v>
                </c:pt>
                <c:pt idx="8">
                  <c:v>-633722.5947889161</c:v>
                </c:pt>
                <c:pt idx="9">
                  <c:v>-566455.1707487039</c:v>
                </c:pt>
                <c:pt idx="10">
                  <c:v>-496967.9217151647</c:v>
                </c:pt>
                <c:pt idx="11">
                  <c:v>-425187.5934635186</c:v>
                </c:pt>
                <c:pt idx="12">
                  <c:v>-351038.5143795683</c:v>
                </c:pt>
                <c:pt idx="13">
                  <c:v>-274442.5156858477</c:v>
                </c:pt>
                <c:pt idx="14">
                  <c:v>-195318.8490352342</c:v>
                </c:pt>
                <c:pt idx="15">
                  <c:v>-113584.1013851505</c:v>
                </c:pt>
                <c:pt idx="16">
                  <c:v>-29152.107062614</c:v>
                </c:pt>
                <c:pt idx="17">
                  <c:v>58066.14307256618</c:v>
                </c:pt>
                <c:pt idx="18">
                  <c:v>148162.5954622073</c:v>
                </c:pt>
                <c:pt idx="19">
                  <c:v>241232.2307807066</c:v>
                </c:pt>
                <c:pt idx="20">
                  <c:v>337373.1640647163</c:v>
                </c:pt>
                <c:pt idx="21">
                  <c:v>436686.7481470984</c:v>
                </c:pt>
                <c:pt idx="22">
                  <c:v>539277.6805041991</c:v>
                </c:pt>
                <c:pt idx="23">
                  <c:v>645254.1136290841</c:v>
                </c:pt>
                <c:pt idx="24">
                  <c:v>754727.7690470903</c:v>
                </c:pt>
                <c:pt idx="25">
                  <c:v>867814.0550938907</c:v>
                </c:pt>
                <c:pt idx="26">
                  <c:v>984632.1885802356</c:v>
                </c:pt>
                <c:pt idx="27">
                  <c:v>1.10530532047163E6</c:v>
                </c:pt>
                <c:pt idx="28">
                  <c:v>1.22996066571544E6</c:v>
                </c:pt>
                <c:pt idx="29">
                  <c:v>1.3587296373523E6</c:v>
                </c:pt>
                <c:pt idx="30">
                  <c:v>1.49174798505317E6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INPUTS!$C$110</c:f>
              <c:strCache>
                <c:ptCount val="1"/>
                <c:pt idx="0">
                  <c:v>Logansport, IN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INPUTS!$D$110:$AH$110</c:f>
              <c:numCache>
                <c:formatCode>"$"#,##0</c:formatCode>
                <c:ptCount val="31"/>
                <c:pt idx="0">
                  <c:v>-1.1E6</c:v>
                </c:pt>
                <c:pt idx="1">
                  <c:v>-1.04263747747722E6</c:v>
                </c:pt>
                <c:pt idx="2">
                  <c:v>-983381.9917111804</c:v>
                </c:pt>
                <c:pt idx="3">
                  <c:v>-922171.0749148655</c:v>
                </c:pt>
                <c:pt idx="4">
                  <c:v>-858940.1978642722</c:v>
                </c:pt>
                <c:pt idx="5">
                  <c:v>-793622.7018710093</c:v>
                </c:pt>
                <c:pt idx="6">
                  <c:v>-726149.7285099687</c:v>
                </c:pt>
                <c:pt idx="7">
                  <c:v>-656450.1470280138</c:v>
                </c:pt>
                <c:pt idx="8">
                  <c:v>-584450.4793571545</c:v>
                </c:pt>
                <c:pt idx="9">
                  <c:v>-510074.8226531567</c:v>
                </c:pt>
                <c:pt idx="10">
                  <c:v>-433244.769277927</c:v>
                </c:pt>
                <c:pt idx="11">
                  <c:v>-353879.3241413147</c:v>
                </c:pt>
                <c:pt idx="12">
                  <c:v>-271894.8193151942</c:v>
                </c:pt>
                <c:pt idx="13">
                  <c:v>-187204.8258298117</c:v>
                </c:pt>
                <c:pt idx="14">
                  <c:v>-99720.06255941166</c:v>
                </c:pt>
                <c:pt idx="15">
                  <c:v>-9348.302101088368</c:v>
                </c:pt>
                <c:pt idx="16">
                  <c:v>84005.72645235959</c:v>
                </c:pt>
                <c:pt idx="17">
                  <c:v>180440.4379480713</c:v>
                </c:pt>
                <c:pt idx="18">
                  <c:v>280057.4949231415</c:v>
                </c:pt>
                <c:pt idx="19">
                  <c:v>382961.9147783891</c:v>
                </c:pt>
                <c:pt idx="20">
                  <c:v>489262.1804888598</c:v>
                </c:pt>
                <c:pt idx="21">
                  <c:v>599070.354967776</c:v>
                </c:pt>
                <c:pt idx="22">
                  <c:v>712502.1992044966</c:v>
                </c:pt>
                <c:pt idx="23">
                  <c:v>829677.2943010288</c:v>
                </c:pt>
                <c:pt idx="24">
                  <c:v>950719.1675357467</c:v>
                </c:pt>
                <c:pt idx="25">
                  <c:v>1.07575542258721E6</c:v>
                </c:pt>
                <c:pt idx="26">
                  <c:v>1.20491787405537E6</c:v>
                </c:pt>
                <c:pt idx="27">
                  <c:v>1.33834268642198E6</c:v>
                </c:pt>
                <c:pt idx="28">
                  <c:v>1.47617051759669E6</c:v>
                </c:pt>
                <c:pt idx="29">
                  <c:v>1.61854666720017E6</c:v>
                </c:pt>
                <c:pt idx="30">
                  <c:v>1.76562122974056E6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INPUTS!$C$111</c:f>
              <c:strCache>
                <c:ptCount val="1"/>
                <c:pt idx="0">
                  <c:v>Gibson City, IL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INPUTS!$D$111:$AH$111</c:f>
              <c:numCache>
                <c:formatCode>"$"#,##0</c:formatCode>
                <c:ptCount val="31"/>
                <c:pt idx="0">
                  <c:v>-1.1E6</c:v>
                </c:pt>
                <c:pt idx="1">
                  <c:v>-1.04077024230819E6</c:v>
                </c:pt>
                <c:pt idx="2">
                  <c:v>-979585.9026125525</c:v>
                </c:pt>
                <c:pt idx="3">
                  <c:v>-916382.4797069578</c:v>
                </c:pt>
                <c:pt idx="4">
                  <c:v>-851093.3438454784</c:v>
                </c:pt>
                <c:pt idx="5">
                  <c:v>-783649.6665005703</c:v>
                </c:pt>
                <c:pt idx="6">
                  <c:v>-713980.3478032802</c:v>
                </c:pt>
                <c:pt idx="7">
                  <c:v>-642011.9415889796</c:v>
                </c:pt>
                <c:pt idx="8">
                  <c:v>-567668.577969607</c:v>
                </c:pt>
                <c:pt idx="9">
                  <c:v>-490871.8833507951</c:v>
                </c:pt>
                <c:pt idx="10">
                  <c:v>-411540.8978095625</c:v>
                </c:pt>
                <c:pt idx="11">
                  <c:v>-329591.9897454691</c:v>
                </c:pt>
                <c:pt idx="12">
                  <c:v>-244938.7677152608</c:v>
                </c:pt>
                <c:pt idx="13">
                  <c:v>-157491.9893580555</c:v>
                </c:pt>
                <c:pt idx="14">
                  <c:v>-67159.4673150624</c:v>
                </c:pt>
                <c:pt idx="15">
                  <c:v>26154.02795534943</c:v>
                </c:pt>
                <c:pt idx="16">
                  <c:v>122546.8685696849</c:v>
                </c:pt>
                <c:pt idx="17">
                  <c:v>222120.6729242933</c:v>
                </c:pt>
                <c:pt idx="18">
                  <c:v>324980.4128226039</c:v>
                </c:pt>
                <c:pt idx="19">
                  <c:v>431234.5241375587</c:v>
                </c:pt>
                <c:pt idx="20">
                  <c:v>540995.021125907</c:v>
                </c:pt>
                <c:pt idx="21">
                  <c:v>654377.6145148709</c:v>
                </c:pt>
                <c:pt idx="22">
                  <c:v>771501.8334856706</c:v>
                </c:pt>
                <c:pt idx="23">
                  <c:v>892491.1516825066</c:v>
                </c:pt>
                <c:pt idx="24">
                  <c:v>1.01747311737984E6</c:v>
                </c:pt>
                <c:pt idx="25">
                  <c:v>1.14657948794518E6</c:v>
                </c:pt>
                <c:pt idx="26">
                  <c:v>1.27994636873918E6</c:v>
                </c:pt>
                <c:pt idx="27">
                  <c:v>1.41771435659938E6</c:v>
                </c:pt>
                <c:pt idx="28">
                  <c:v>1.56002868805897E6</c:v>
                </c:pt>
                <c:pt idx="29">
                  <c:v>1.70703939245673E6</c:v>
                </c:pt>
                <c:pt idx="30">
                  <c:v>1.85890145009961E6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INPUTS!$C$112</c:f>
              <c:strCache>
                <c:ptCount val="1"/>
                <c:pt idx="0">
                  <c:v>Cambria, WI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INPUTS!$D$112:$AH$112</c:f>
              <c:numCache>
                <c:formatCode>"$"#,##0</c:formatCode>
                <c:ptCount val="31"/>
                <c:pt idx="0">
                  <c:v>-1.1E6</c:v>
                </c:pt>
                <c:pt idx="1">
                  <c:v>-1.04498971672356E6</c:v>
                </c:pt>
                <c:pt idx="2">
                  <c:v>-988164.0940989957</c:v>
                </c:pt>
                <c:pt idx="3">
                  <c:v>-929463.2259278215</c:v>
                </c:pt>
                <c:pt idx="4">
                  <c:v>-868825.2291069988</c:v>
                </c:pt>
                <c:pt idx="5">
                  <c:v>-806186.1783910888</c:v>
                </c:pt>
                <c:pt idx="6">
                  <c:v>-741480.039001554</c:v>
                </c:pt>
                <c:pt idx="7">
                  <c:v>-674638.5970121643</c:v>
                </c:pt>
                <c:pt idx="8">
                  <c:v>-605591.3874371248</c:v>
                </c:pt>
                <c:pt idx="9">
                  <c:v>-534265.6199461091</c:v>
                </c:pt>
                <c:pt idx="10">
                  <c:v>-460586.1021278898</c:v>
                </c:pt>
                <c:pt idx="11">
                  <c:v>-384475.1602216692</c:v>
                </c:pt>
                <c:pt idx="12">
                  <c:v>-305852.5572325434</c:v>
                </c:pt>
                <c:pt idx="13">
                  <c:v>-224635.4083447765</c:v>
                </c:pt>
                <c:pt idx="14">
                  <c:v>-140738.0935437132</c:v>
                </c:pt>
                <c:pt idx="15">
                  <c:v>-54072.16735421483</c:v>
                </c:pt>
                <c:pt idx="16">
                  <c:v>35453.73439953697</c:v>
                </c:pt>
                <c:pt idx="17">
                  <c:v>127933.9909111626</c:v>
                </c:pt>
                <c:pt idx="18">
                  <c:v>223466.0958876718</c:v>
                </c:pt>
                <c:pt idx="19">
                  <c:v>322150.7603284059</c:v>
                </c:pt>
                <c:pt idx="20">
                  <c:v>424092.0186956841</c:v>
                </c:pt>
                <c:pt idx="21">
                  <c:v>529397.3385890826</c:v>
                </c:pt>
                <c:pt idx="22">
                  <c:v>638177.7340389632</c:v>
                </c:pt>
                <c:pt idx="23">
                  <c:v>750547.8825386899</c:v>
                </c:pt>
                <c:pt idx="24">
                  <c:v>866626.2459389075</c:v>
                </c:pt>
                <c:pt idx="25">
                  <c:v>986535.1953313323</c:v>
                </c:pt>
                <c:pt idx="26">
                  <c:v>1.11040114005371E6</c:v>
                </c:pt>
                <c:pt idx="27">
                  <c:v>1.23835466095192E6</c:v>
                </c:pt>
                <c:pt idx="28">
                  <c:v>1.37053064803977E6</c:v>
                </c:pt>
                <c:pt idx="29">
                  <c:v>1.50706844270153E6</c:v>
                </c:pt>
                <c:pt idx="30">
                  <c:v>1.64811198458712E6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INPUTS!$C$113</c:f>
              <c:strCache>
                <c:ptCount val="1"/>
                <c:pt idx="0">
                  <c:v>Marshall, MN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INPUTS!$D$113:$AH$113</c:f>
              <c:numCache>
                <c:formatCode>"$"#,##0</c:formatCode>
                <c:ptCount val="31"/>
                <c:pt idx="0">
                  <c:v>-1.1E6</c:v>
                </c:pt>
                <c:pt idx="1">
                  <c:v>-1.04618671720711E6</c:v>
                </c:pt>
                <c:pt idx="2">
                  <c:v>-990597.5960820456</c:v>
                </c:pt>
                <c:pt idx="3">
                  <c:v>-933174.0339598588</c:v>
                </c:pt>
                <c:pt idx="4">
                  <c:v>-873855.4942876398</c:v>
                </c:pt>
                <c:pt idx="5">
                  <c:v>-812579.4428062376</c:v>
                </c:pt>
                <c:pt idx="6">
                  <c:v>-749281.281625949</c:v>
                </c:pt>
                <c:pt idx="7">
                  <c:v>-683894.281126711</c:v>
                </c:pt>
                <c:pt idx="8">
                  <c:v>-616349.5096109982</c:v>
                </c:pt>
                <c:pt idx="9">
                  <c:v>-546575.7606352667</c:v>
                </c:pt>
                <c:pt idx="10">
                  <c:v>-474499.4779433362</c:v>
                </c:pt>
                <c:pt idx="11">
                  <c:v>-400044.677922572</c:v>
                </c:pt>
                <c:pt idx="12">
                  <c:v>-323132.8695011225</c:v>
                </c:pt>
                <c:pt idx="13">
                  <c:v>-243682.9714017652</c:v>
                </c:pt>
                <c:pt idx="14">
                  <c:v>-161611.2266651291</c:v>
                </c:pt>
                <c:pt idx="15">
                  <c:v>-76831.114352184</c:v>
                </c:pt>
                <c:pt idx="16">
                  <c:v>10746.74166708827</c:v>
                </c:pt>
                <c:pt idx="17">
                  <c:v>101214.6669349965</c:v>
                </c:pt>
                <c:pt idx="18">
                  <c:v>194668.0337367457</c:v>
                </c:pt>
                <c:pt idx="19">
                  <c:v>291205.3616429527</c:v>
                </c:pt>
                <c:pt idx="20">
                  <c:v>390928.4213700644</c:v>
                </c:pt>
                <c:pt idx="21">
                  <c:v>493942.3420681709</c:v>
                </c:pt>
                <c:pt idx="22">
                  <c:v>600355.7221493149</c:v>
                </c:pt>
                <c:pt idx="23">
                  <c:v>710280.7437731366</c:v>
                </c:pt>
                <c:pt idx="24">
                  <c:v>823833.2911105445</c:v>
                </c:pt>
                <c:pt idx="25">
                  <c:v>941133.0725100868</c:v>
                </c:pt>
                <c:pt idx="26">
                  <c:v>1.06230374669581E6</c:v>
                </c:pt>
                <c:pt idx="27">
                  <c:v>1.18747305312967E6</c:v>
                </c:pt>
                <c:pt idx="28">
                  <c:v>1.31677294667584E6</c:v>
                </c:pt>
                <c:pt idx="29">
                  <c:v>1.45033973670904E6</c:v>
                </c:pt>
                <c:pt idx="30">
                  <c:v>1.58831423081333E6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INPUTS!$C$114</c:f>
              <c:strCache>
                <c:ptCount val="1"/>
                <c:pt idx="0">
                  <c:v>Watertown, SD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INPUTS!$D$114:$AH$114</c:f>
              <c:numCache>
                <c:formatCode>"$"#,##0</c:formatCode>
                <c:ptCount val="31"/>
                <c:pt idx="0">
                  <c:v>-1.1E6</c:v>
                </c:pt>
                <c:pt idx="1">
                  <c:v>-1.04302433588846E6</c:v>
                </c:pt>
                <c:pt idx="2">
                  <c:v>-984168.4748612302</c:v>
                </c:pt>
                <c:pt idx="3">
                  <c:v>-923370.3704201064</c:v>
                </c:pt>
                <c:pt idx="4">
                  <c:v>-860565.9285324255</c:v>
                </c:pt>
                <c:pt idx="5">
                  <c:v>-795688.9400624511</c:v>
                </c:pt>
                <c:pt idx="6">
                  <c:v>-728671.0109729676</c:v>
                </c:pt>
                <c:pt idx="7">
                  <c:v>-659441.490223531</c:v>
                </c:pt>
                <c:pt idx="8">
                  <c:v>-587927.3952893633</c:v>
                </c:pt>
                <c:pt idx="9">
                  <c:v>-514053.335222368</c:v>
                </c:pt>
                <c:pt idx="10">
                  <c:v>-437741.4311731617</c:v>
                </c:pt>
                <c:pt idx="11">
                  <c:v>-358911.2342903317</c:v>
                </c:pt>
                <c:pt idx="12">
                  <c:v>-277479.6409103682</c:v>
                </c:pt>
                <c:pt idx="13">
                  <c:v>-193360.804948866</c:v>
                </c:pt>
                <c:pt idx="14">
                  <c:v>-106466.0474006342</c:v>
                </c:pt>
                <c:pt idx="15">
                  <c:v>-16703.7628533107</c:v>
                </c:pt>
                <c:pt idx="16">
                  <c:v>76020.67708407444</c:v>
                </c:pt>
                <c:pt idx="17">
                  <c:v>171805.0235393933</c:v>
                </c:pt>
                <c:pt idx="18">
                  <c:v>270750.2534277376</c:v>
                </c:pt>
                <c:pt idx="19">
                  <c:v>372960.6759023974</c:v>
                </c:pt>
                <c:pt idx="20">
                  <c:v>478544.0423187208</c:v>
                </c:pt>
                <c:pt idx="21">
                  <c:v>587611.659826783</c:v>
                </c:pt>
                <c:pt idx="22">
                  <c:v>700278.5087126112</c:v>
                </c:pt>
                <c:pt idx="23">
                  <c:v>816663.3636116718</c:v>
                </c:pt>
                <c:pt idx="24">
                  <c:v>936888.9187224013</c:v>
                </c:pt>
                <c:pt idx="25">
                  <c:v>1.06108191715178E6</c:v>
                </c:pt>
                <c:pt idx="26">
                  <c:v>1.18937328452934E6</c:v>
                </c:pt>
                <c:pt idx="27">
                  <c:v>1.32189826703035E6</c:v>
                </c:pt>
                <c:pt idx="28">
                  <c:v>1.4587965739539E6</c:v>
                </c:pt>
                <c:pt idx="29">
                  <c:v>1.60021252500592E6</c:v>
                </c:pt>
                <c:pt idx="30">
                  <c:v>1.74629520244266E6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INPUTS!$C$115</c:f>
              <c:strCache>
                <c:ptCount val="1"/>
                <c:pt idx="0">
                  <c:v>Richardton, ND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INPUTS!$D$115:$AH$115</c:f>
              <c:numCache>
                <c:formatCode>"$"#,##0</c:formatCode>
                <c:ptCount val="31"/>
                <c:pt idx="0">
                  <c:v>-1.1E6</c:v>
                </c:pt>
                <c:pt idx="1">
                  <c:v>-1.04702739528484E6</c:v>
                </c:pt>
                <c:pt idx="2">
                  <c:v>-992306.6946140878</c:v>
                </c:pt>
                <c:pt idx="3">
                  <c:v>-935780.2108211967</c:v>
                </c:pt>
                <c:pt idx="4">
                  <c:v>-877388.3530631402</c:v>
                </c:pt>
                <c:pt idx="5">
                  <c:v>-817069.563999068</c:v>
                </c:pt>
                <c:pt idx="6">
                  <c:v>-754760.2548958812</c:v>
                </c:pt>
                <c:pt idx="7">
                  <c:v>-690394.7385922894</c:v>
                </c:pt>
                <c:pt idx="8">
                  <c:v>-623905.160250679</c:v>
                </c:pt>
                <c:pt idx="9">
                  <c:v>-555221.4258237954</c:v>
                </c:pt>
                <c:pt idx="10">
                  <c:v>-484271.1281608248</c:v>
                </c:pt>
                <c:pt idx="11">
                  <c:v>-410979.470674976</c:v>
                </c:pt>
                <c:pt idx="12">
                  <c:v>-335269.1884920943</c:v>
                </c:pt>
                <c:pt idx="13">
                  <c:v>-257060.4669971775</c:v>
                </c:pt>
                <c:pt idx="14">
                  <c:v>-176270.8576929283</c:v>
                </c:pt>
                <c:pt idx="15">
                  <c:v>-92815.19128163902</c:v>
                </c:pt>
                <c:pt idx="16">
                  <c:v>-6605.487878777159</c:v>
                </c:pt>
                <c:pt idx="17">
                  <c:v>82449.13573637914</c:v>
                </c:pt>
                <c:pt idx="18">
                  <c:v>174442.5619308356</c:v>
                </c:pt>
                <c:pt idx="19">
                  <c:v>269471.7711897091</c:v>
                </c:pt>
                <c:pt idx="20">
                  <c:v>367636.9443541255</c:v>
                </c:pt>
                <c:pt idx="21">
                  <c:v>469041.5682329676</c:v>
                </c:pt>
                <c:pt idx="22">
                  <c:v>573792.5446998115</c:v>
                </c:pt>
                <c:pt idx="23">
                  <c:v>682000.3033900612</c:v>
                </c:pt>
                <c:pt idx="24">
                  <c:v>793778.9181170892</c:v>
                </c:pt>
                <c:pt idx="25">
                  <c:v>909246.2271301091</c:v>
                </c:pt>
                <c:pt idx="26">
                  <c:v>1.02852395734056E6</c:v>
                </c:pt>
                <c:pt idx="27">
                  <c:v>1.15173785264795E6</c:v>
                </c:pt>
                <c:pt idx="28">
                  <c:v>1.27901780650049E6</c:v>
                </c:pt>
                <c:pt idx="29">
                  <c:v>1.41049799883016E6</c:v>
                </c:pt>
                <c:pt idx="30">
                  <c:v>1.54631703750671E6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INPUTS!$C$116</c:f>
              <c:strCache>
                <c:ptCount val="1"/>
                <c:pt idx="0">
                  <c:v>Arthur, IA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INPUTS!$D$116:$AH$116</c:f>
              <c:numCache>
                <c:formatCode>"$"#,##0</c:formatCode>
                <c:ptCount val="31"/>
                <c:pt idx="0">
                  <c:v>-1.1E6</c:v>
                </c:pt>
                <c:pt idx="1">
                  <c:v>-1.04276659106868E6</c:v>
                </c:pt>
                <c:pt idx="2">
                  <c:v>-983644.4796426353</c:v>
                </c:pt>
                <c:pt idx="3">
                  <c:v>-922571.3385395266</c:v>
                </c:pt>
                <c:pt idx="4">
                  <c:v>-859482.7837800154</c:v>
                </c:pt>
                <c:pt idx="5">
                  <c:v>-794312.3067134403</c:v>
                </c:pt>
                <c:pt idx="6">
                  <c:v>-726991.2039036682</c:v>
                </c:pt>
                <c:pt idx="7">
                  <c:v>-657448.5047011736</c:v>
                </c:pt>
                <c:pt idx="8">
                  <c:v>-585610.8964249967</c:v>
                </c:pt>
                <c:pt idx="9">
                  <c:v>-511402.647075706</c:v>
                </c:pt>
                <c:pt idx="10">
                  <c:v>-434745.5254978887</c:v>
                </c:pt>
                <c:pt idx="11">
                  <c:v>-355558.7189080034</c:v>
                </c:pt>
                <c:pt idx="12">
                  <c:v>-273758.7477006519</c:v>
                </c:pt>
                <c:pt idx="13">
                  <c:v>-189259.3774434578</c:v>
                </c:pt>
                <c:pt idx="14">
                  <c:v>-101971.5279677763</c:v>
                </c:pt>
                <c:pt idx="15">
                  <c:v>-11803.17945939726</c:v>
                </c:pt>
                <c:pt idx="16">
                  <c:v>81340.72454975824</c:v>
                </c:pt>
                <c:pt idx="17">
                  <c:v>177558.3773912159</c:v>
                </c:pt>
                <c:pt idx="18">
                  <c:v>276951.2127764416</c:v>
                </c:pt>
                <c:pt idx="19">
                  <c:v>379624.0117293798</c:v>
                </c:pt>
                <c:pt idx="20">
                  <c:v>485685.0130477648</c:v>
                </c:pt>
                <c:pt idx="21">
                  <c:v>595246.0274096568</c:v>
                </c:pt>
                <c:pt idx="22">
                  <c:v>708422.555245491</c:v>
                </c:pt>
                <c:pt idx="23">
                  <c:v>825333.908499908</c:v>
                </c:pt>
                <c:pt idx="24">
                  <c:v>946103.3364117204</c:v>
                </c:pt>
                <c:pt idx="25">
                  <c:v>1.07085815544462E6</c:v>
                </c:pt>
                <c:pt idx="26">
                  <c:v>1.19972988350561E6</c:v>
                </c:pt>
                <c:pt idx="27">
                  <c:v>1.33285437859261E6</c:v>
                </c:pt>
                <c:pt idx="28">
                  <c:v>1.47037198201748E6</c:v>
                </c:pt>
                <c:pt idx="29">
                  <c:v>1.61242766635538E6</c:v>
                </c:pt>
                <c:pt idx="30">
                  <c:v>1.75917118827642E6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INPUTS!$C$117</c:f>
              <c:strCache>
                <c:ptCount val="1"/>
                <c:pt idx="0">
                  <c:v>St. Joseph, MO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INPUTS!$D$117:$AH$117</c:f>
              <c:numCache>
                <c:formatCode>"$"#,##0</c:formatCode>
                <c:ptCount val="31"/>
                <c:pt idx="0">
                  <c:v>-1.1E6</c:v>
                </c:pt>
                <c:pt idx="1">
                  <c:v>-1.03555041184388E6</c:v>
                </c:pt>
                <c:pt idx="2">
                  <c:v>-968973.9872786106</c:v>
                </c:pt>
                <c:pt idx="3">
                  <c:v>-900200.540702686</c:v>
                </c:pt>
                <c:pt idx="4">
                  <c:v>-829157.5703897559</c:v>
                </c:pt>
                <c:pt idx="5">
                  <c:v>-755770.1820564991</c:v>
                </c:pt>
                <c:pt idx="6">
                  <c:v>-679961.0099082448</c:v>
                </c:pt>
                <c:pt idx="7">
                  <c:v>-601650.1350790982</c:v>
                </c:pt>
                <c:pt idx="8">
                  <c:v>-520755.0013805897</c:v>
                </c:pt>
                <c:pt idx="9">
                  <c:v>-437190.3282700304</c:v>
                </c:pt>
                <c:pt idx="10">
                  <c:v>-350868.0209468227</c:v>
                </c:pt>
                <c:pt idx="11">
                  <c:v>-261697.0774819491</c:v>
                </c:pt>
                <c:pt idx="12">
                  <c:v>-169583.4928827347</c:v>
                </c:pt>
                <c:pt idx="13">
                  <c:v>-74430.15999174628</c:v>
                </c:pt>
                <c:pt idx="14">
                  <c:v>23863.23288464478</c:v>
                </c:pt>
                <c:pt idx="15">
                  <c:v>125400.3077259568</c:v>
                </c:pt>
                <c:pt idx="16">
                  <c:v>230288.106037032</c:v>
                </c:pt>
                <c:pt idx="17">
                  <c:v>338637.2016923728</c:v>
                </c:pt>
                <c:pt idx="18">
                  <c:v>450561.8175043398</c:v>
                </c:pt>
                <c:pt idx="19">
                  <c:v>566179.9456381016</c:v>
                </c:pt>
                <c:pt idx="20">
                  <c:v>685613.4720002777</c:v>
                </c:pt>
                <c:pt idx="21">
                  <c:v>808988.3047324056</c:v>
                </c:pt>
                <c:pt idx="22">
                  <c:v>936434.5069446936</c:v>
                </c:pt>
                <c:pt idx="23">
                  <c:v>1.06808643382999E6</c:v>
                </c:pt>
                <c:pt idx="24">
                  <c:v>1.2040828743025E6</c:v>
                </c:pt>
                <c:pt idx="25">
                  <c:v>1.3445671973106E6</c:v>
                </c:pt>
                <c:pt idx="26">
                  <c:v>1.48968750297796E6</c:v>
                </c:pt>
                <c:pt idx="27">
                  <c:v>1.63959677873236E6</c:v>
                </c:pt>
                <c:pt idx="28">
                  <c:v>1.79445306058664E6</c:v>
                </c:pt>
                <c:pt idx="29">
                  <c:v>1.95441959974212E6</c:v>
                </c:pt>
                <c:pt idx="30">
                  <c:v>2.11966503468973E6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INPUTS!$C$118</c:f>
              <c:strCache>
                <c:ptCount val="1"/>
                <c:pt idx="0">
                  <c:v>Sutherland, NE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INPUTS!$D$118:$AH$118</c:f>
              <c:numCache>
                <c:formatCode>"$"#,##0</c:formatCode>
                <c:ptCount val="31"/>
                <c:pt idx="0">
                  <c:v>-1.1E6</c:v>
                </c:pt>
                <c:pt idx="1">
                  <c:v>-1.03250380188849E6</c:v>
                </c:pt>
                <c:pt idx="2">
                  <c:v>-962780.229239309</c:v>
                </c:pt>
                <c:pt idx="3">
                  <c:v>-890755.7786927006</c:v>
                </c:pt>
                <c:pt idx="4">
                  <c:v>-816354.521278054</c:v>
                </c:pt>
                <c:pt idx="5">
                  <c:v>-739498.0223687241</c:v>
                </c:pt>
                <c:pt idx="6">
                  <c:v>-660105.2589953863</c:v>
                </c:pt>
                <c:pt idx="7">
                  <c:v>-578092.5344307284</c:v>
                </c:pt>
                <c:pt idx="8">
                  <c:v>-493373.3899554368</c:v>
                </c:pt>
                <c:pt idx="9">
                  <c:v>-405858.5137124605</c:v>
                </c:pt>
                <c:pt idx="10">
                  <c:v>-315455.6465534662</c:v>
                </c:pt>
                <c:pt idx="11">
                  <c:v>-222069.4847782249</c:v>
                </c:pt>
                <c:pt idx="12">
                  <c:v>-125601.5796644007</c:v>
                </c:pt>
                <c:pt idx="13">
                  <c:v>-25950.23368182026</c:v>
                </c:pt>
                <c:pt idx="14">
                  <c:v>76989.6067181853</c:v>
                </c:pt>
                <c:pt idx="15">
                  <c:v>183326.461851391</c:v>
                </c:pt>
                <c:pt idx="16">
                  <c:v>293172.4332039925</c:v>
                </c:pt>
                <c:pt idx="17">
                  <c:v>406643.32161123</c:v>
                </c:pt>
                <c:pt idx="18">
                  <c:v>523858.7493359061</c:v>
                </c:pt>
                <c:pt idx="19">
                  <c:v>644942.2861754966</c:v>
                </c:pt>
                <c:pt idx="20">
                  <c:v>770021.5797307937</c:v>
                </c:pt>
                <c:pt idx="21">
                  <c:v>899228.4899734155</c:v>
                </c:pt>
                <c:pt idx="22">
                  <c:v>1.03269922825404E6</c:v>
                </c:pt>
                <c:pt idx="23">
                  <c:v>1.17057450089793E6</c:v>
                </c:pt>
                <c:pt idx="24">
                  <c:v>1.31299965753907E6</c:v>
                </c:pt>
                <c:pt idx="25">
                  <c:v>1.46012484434937E6</c:v>
                </c:pt>
                <c:pt idx="26">
                  <c:v>1.6121051623244E6</c:v>
                </c:pt>
                <c:pt idx="27">
                  <c:v>1.76910083079261E6</c:v>
                </c:pt>
                <c:pt idx="28">
                  <c:v>1.93127735632027E6</c:v>
                </c:pt>
                <c:pt idx="29">
                  <c:v>2.09880570719035E6</c:v>
                </c:pt>
                <c:pt idx="30">
                  <c:v>2.27186249363913E6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INPUTS!$C$119</c:f>
              <c:strCache>
                <c:ptCount val="1"/>
                <c:pt idx="0">
                  <c:v>Torrington, WY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INPUTS!$D$119:$AH$119</c:f>
              <c:numCache>
                <c:formatCode>"$"#,##0</c:formatCode>
                <c:ptCount val="31"/>
                <c:pt idx="0">
                  <c:v>-1.1E6</c:v>
                </c:pt>
                <c:pt idx="1">
                  <c:v>-1.0351654282385E6</c:v>
                </c:pt>
                <c:pt idx="2">
                  <c:v>-968191.3156088612</c:v>
                </c:pt>
                <c:pt idx="3">
                  <c:v>-899007.0572624491</c:v>
                </c:pt>
                <c:pt idx="4">
                  <c:v>-827539.7183906054</c:v>
                </c:pt>
                <c:pt idx="5">
                  <c:v>-753713.9573359908</c:v>
                </c:pt>
                <c:pt idx="6">
                  <c:v>-677451.946166574</c:v>
                </c:pt>
                <c:pt idx="7">
                  <c:v>-598673.2886285664</c:v>
                </c:pt>
                <c:pt idx="8">
                  <c:v>-517294.9353918045</c:v>
                </c:pt>
                <c:pt idx="9">
                  <c:v>-433231.0964982295</c:v>
                </c:pt>
                <c:pt idx="10">
                  <c:v>-346393.1509211666</c:v>
                </c:pt>
                <c:pt idx="11">
                  <c:v>-256689.5531400605</c:v>
                </c:pt>
                <c:pt idx="12">
                  <c:v>-164025.736632178</c:v>
                </c:pt>
                <c:pt idx="13">
                  <c:v>-68304.01417953528</c:v>
                </c:pt>
                <c:pt idx="14">
                  <c:v>30576.5251140446</c:v>
                </c:pt>
                <c:pt idx="15">
                  <c:v>132720.1222043126</c:v>
                </c:pt>
                <c:pt idx="16">
                  <c:v>238234.4579985595</c:v>
                </c:pt>
                <c:pt idx="17">
                  <c:v>347230.7668740165</c:v>
                </c:pt>
                <c:pt idx="18">
                  <c:v>459823.9539423635</c:v>
                </c:pt>
                <c:pt idx="19">
                  <c:v>576132.7161839661</c:v>
                </c:pt>
                <c:pt idx="20">
                  <c:v>696279.6675795416</c:v>
                </c:pt>
                <c:pt idx="21">
                  <c:v>820391.468371171</c:v>
                </c:pt>
                <c:pt idx="22">
                  <c:v>948598.9585889242</c:v>
                </c:pt>
                <c:pt idx="23">
                  <c:v>1.08103729598386E6</c:v>
                </c:pt>
                <c:pt idx="24">
                  <c:v>1.21784609851284E6</c:v>
                </c:pt>
                <c:pt idx="25">
                  <c:v>1.35916959152526E6</c:v>
                </c:pt>
                <c:pt idx="26">
                  <c:v>1.5051567598071E6</c:v>
                </c:pt>
                <c:pt idx="27">
                  <c:v>1.65596150464224E6</c:v>
                </c:pt>
                <c:pt idx="28">
                  <c:v>1.81174280605694E6</c:v>
                </c:pt>
                <c:pt idx="29">
                  <c:v>1.97266489041832E6</c:v>
                </c:pt>
                <c:pt idx="30">
                  <c:v>2.13889740356363E6</c:v>
                </c:pt>
              </c:numCache>
            </c:numRef>
          </c:yVal>
          <c:smooth val="1"/>
        </c:ser>
        <c:ser>
          <c:idx val="12"/>
          <c:order val="12"/>
          <c:tx>
            <c:strRef>
              <c:f>INPUTS!$C$120</c:f>
              <c:strCache>
                <c:ptCount val="1"/>
                <c:pt idx="0">
                  <c:v>Burley, ID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INPUTS!$D$120:$AH$120</c:f>
              <c:numCache>
                <c:formatCode>"$"#,##0</c:formatCode>
                <c:ptCount val="31"/>
                <c:pt idx="0">
                  <c:v>-1.1E6</c:v>
                </c:pt>
                <c:pt idx="1">
                  <c:v>-1.02939845922596E6</c:v>
                </c:pt>
                <c:pt idx="2">
                  <c:v>-956467.0676063792</c:v>
                </c:pt>
                <c:pt idx="3">
                  <c:v>-881128.940063351</c:v>
                </c:pt>
                <c:pt idx="4">
                  <c:v>-803304.6543114029</c:v>
                </c:pt>
                <c:pt idx="5">
                  <c:v>-722912.1671296405</c:v>
                </c:pt>
                <c:pt idx="6">
                  <c:v>-639866.7278708799</c:v>
                </c:pt>
                <c:pt idx="7">
                  <c:v>-554080.7891165803</c:v>
                </c:pt>
                <c:pt idx="8">
                  <c:v>-465463.9143833887</c:v>
                </c:pt>
                <c:pt idx="9">
                  <c:v>-373922.6827840018</c:v>
                </c:pt>
                <c:pt idx="10">
                  <c:v>-279360.5905418351</c:v>
                </c:pt>
                <c:pt idx="11">
                  <c:v>-181677.949255677</c:v>
                </c:pt>
                <c:pt idx="12">
                  <c:v>-80771.78080707566</c:v>
                </c:pt>
                <c:pt idx="13">
                  <c:v>23464.29120032955</c:v>
                </c:pt>
                <c:pt idx="14">
                  <c:v>131140.1535839791</c:v>
                </c:pt>
                <c:pt idx="15">
                  <c:v>242369.3194262891</c:v>
                </c:pt>
                <c:pt idx="16">
                  <c:v>357269.0477413954</c:v>
                </c:pt>
                <c:pt idx="17">
                  <c:v>475960.4670909001</c:v>
                </c:pt>
                <c:pt idx="18">
                  <c:v>598568.7032789385</c:v>
                </c:pt>
                <c:pt idx="19">
                  <c:v>725223.0112611822</c:v>
                </c:pt>
                <c:pt idx="20">
                  <c:v>856056.91140684</c:v>
                </c:pt>
                <c:pt idx="21">
                  <c:v>991208.3302573043</c:v>
                </c:pt>
                <c:pt idx="22">
                  <c:v>1.13081974592983E6</c:v>
                </c:pt>
                <c:pt idx="23">
                  <c:v>1.27503833831956E6</c:v>
                </c:pt>
                <c:pt idx="24">
                  <c:v>1.42401614425814E6</c:v>
                </c:pt>
                <c:pt idx="25">
                  <c:v>1.5779102177927E6</c:v>
                </c:pt>
                <c:pt idx="26">
                  <c:v>1.7368827957539E6</c:v>
                </c:pt>
                <c:pt idx="27">
                  <c:v>1.90110146878781E6</c:v>
                </c:pt>
                <c:pt idx="28">
                  <c:v>2.07073935803185E6</c:v>
                </c:pt>
                <c:pt idx="29">
                  <c:v>2.24597529762094E6</c:v>
                </c:pt>
                <c:pt idx="30">
                  <c:v>2.42699402321647E6</c:v>
                </c:pt>
              </c:numCache>
            </c:numRef>
          </c:yVal>
          <c:smooth val="1"/>
        </c:ser>
        <c:ser>
          <c:idx val="13"/>
          <c:order val="13"/>
          <c:tx>
            <c:strRef>
              <c:f>INPUTS!$C$121</c:f>
              <c:strCache>
                <c:ptCount val="1"/>
                <c:pt idx="0">
                  <c:v>Yuma, CO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INPUTS!$D$121:$AH$121</c:f>
              <c:numCache>
                <c:formatCode>"$"#,##0</c:formatCode>
                <c:ptCount val="31"/>
                <c:pt idx="0">
                  <c:v>-1.1E6</c:v>
                </c:pt>
                <c:pt idx="1">
                  <c:v>-1.02908738963118E6</c:v>
                </c:pt>
                <c:pt idx="2">
                  <c:v>-955834.66312018</c:v>
                </c:pt>
                <c:pt idx="3">
                  <c:v>-880164.5966343213</c:v>
                </c:pt>
                <c:pt idx="4">
                  <c:v>-801997.4179544295</c:v>
                </c:pt>
                <c:pt idx="5">
                  <c:v>-721250.7223781012</c:v>
                </c:pt>
                <c:pt idx="6">
                  <c:v>-637839.3858477541</c:v>
                </c:pt>
                <c:pt idx="7">
                  <c:v>-551675.4752119055</c:v>
                </c:pt>
                <c:pt idx="8">
                  <c:v>-462668.155525074</c:v>
                </c:pt>
                <c:pt idx="9">
                  <c:v>-370723.594288577</c:v>
                </c:pt>
                <c:pt idx="10">
                  <c:v>-275744.8625312755</c:v>
                </c:pt>
                <c:pt idx="11">
                  <c:v>-177631.8326259832</c:v>
                </c:pt>
                <c:pt idx="12">
                  <c:v>-76281.0727338162</c:v>
                </c:pt>
                <c:pt idx="13">
                  <c:v>28414.26223479232</c:v>
                </c:pt>
                <c:pt idx="14">
                  <c:v>136564.5432573649</c:v>
                </c:pt>
                <c:pt idx="15">
                  <c:v>248283.7835536824</c:v>
                </c:pt>
                <c:pt idx="16">
                  <c:v>363689.7587797784</c:v>
                </c:pt>
                <c:pt idx="17">
                  <c:v>482904.1311883355</c:v>
                </c:pt>
                <c:pt idx="18">
                  <c:v>606052.577886375</c:v>
                </c:pt>
                <c:pt idx="19">
                  <c:v>733264.9233254498</c:v>
                </c:pt>
                <c:pt idx="20">
                  <c:v>864675.2761640141</c:v>
                </c:pt>
                <c:pt idx="21">
                  <c:v>1.00042217064625E6</c:v>
                </c:pt>
                <c:pt idx="22">
                  <c:v>1.1406487126464E6</c:v>
                </c:pt>
                <c:pt idx="23">
                  <c:v>1.28550273053256E6</c:v>
                </c:pt>
                <c:pt idx="24">
                  <c:v>1.43513693100896E6</c:v>
                </c:pt>
                <c:pt idx="25">
                  <c:v>1.58970906010108E6</c:v>
                </c:pt>
                <c:pt idx="26">
                  <c:v>1.74938206945324E6</c:v>
                </c:pt>
                <c:pt idx="27">
                  <c:v>1.91432428811402E6</c:v>
                </c:pt>
                <c:pt idx="28">
                  <c:v>2.0847095999906E6</c:v>
                </c:pt>
                <c:pt idx="29">
                  <c:v>2.26071762715912E6</c:v>
                </c:pt>
                <c:pt idx="30">
                  <c:v>2.44253391922419E6</c:v>
                </c:pt>
              </c:numCache>
            </c:numRef>
          </c:yVal>
          <c:smooth val="1"/>
        </c:ser>
        <c:ser>
          <c:idx val="14"/>
          <c:order val="14"/>
          <c:tx>
            <c:strRef>
              <c:f>INPUTS!$C$122</c:f>
              <c:strCache>
                <c:ptCount val="1"/>
                <c:pt idx="0">
                  <c:v>Russell, KS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INPUTS!$D$122:$AH$122</c:f>
              <c:numCache>
                <c:formatCode>"$"#,##0</c:formatCode>
                <c:ptCount val="31"/>
                <c:pt idx="0">
                  <c:v>-1.1E6</c:v>
                </c:pt>
                <c:pt idx="1">
                  <c:v>-1.02793285181877E6</c:v>
                </c:pt>
                <c:pt idx="2">
                  <c:v>-953487.4877475674</c:v>
                </c:pt>
                <c:pt idx="3">
                  <c:v>-876585.426662011</c:v>
                </c:pt>
                <c:pt idx="4">
                  <c:v>-797145.5975606313</c:v>
                </c:pt>
                <c:pt idx="5">
                  <c:v>-715084.2540989062</c:v>
                </c:pt>
                <c:pt idx="6">
                  <c:v>-630314.886302944</c:v>
                </c:pt>
                <c:pt idx="7">
                  <c:v>-542748.1293697151</c:v>
                </c:pt>
                <c:pt idx="8">
                  <c:v>-452291.6694576897</c:v>
                </c:pt>
                <c:pt idx="9">
                  <c:v>-358850.1463685674</c:v>
                </c:pt>
                <c:pt idx="10">
                  <c:v>-262325.053017504</c:v>
                </c:pt>
                <c:pt idx="11">
                  <c:v>-162614.6315858556</c:v>
                </c:pt>
                <c:pt idx="12">
                  <c:v>-59613.76624696281</c:v>
                </c:pt>
                <c:pt idx="13">
                  <c:v>46786.12764811346</c:v>
                </c:pt>
                <c:pt idx="14">
                  <c:v>156697.2180417272</c:v>
                </c:pt>
                <c:pt idx="15">
                  <c:v>270235.3744183303</c:v>
                </c:pt>
                <c:pt idx="16">
                  <c:v>387520.2899553612</c:v>
                </c:pt>
                <c:pt idx="17">
                  <c:v>508675.6077051141</c:v>
                </c:pt>
                <c:pt idx="18">
                  <c:v>633829.050940609</c:v>
                </c:pt>
                <c:pt idx="19">
                  <c:v>763112.557802875</c:v>
                </c:pt>
                <c:pt idx="20">
                  <c:v>896662.420391596</c:v>
                </c:pt>
                <c:pt idx="21">
                  <c:v>1.03461942844574E6</c:v>
                </c:pt>
                <c:pt idx="22">
                  <c:v>1.17712901776568E6</c:v>
                </c:pt>
                <c:pt idx="23">
                  <c:v>1.32434142353317E6</c:v>
                </c:pt>
                <c:pt idx="24">
                  <c:v>1.47641183869099E6</c:v>
                </c:pt>
                <c:pt idx="25">
                  <c:v>1.63350057754902E6</c:v>
                </c:pt>
                <c:pt idx="26">
                  <c:v>1.79577324478937E6</c:v>
                </c:pt>
                <c:pt idx="27">
                  <c:v>1.96340091004864E6</c:v>
                </c:pt>
                <c:pt idx="28">
                  <c:v>2.13656028826147E6</c:v>
                </c:pt>
                <c:pt idx="29">
                  <c:v>2.31543392595533E6</c:v>
                </c:pt>
                <c:pt idx="30">
                  <c:v>2.50021039369308E6</c:v>
                </c:pt>
              </c:numCache>
            </c:numRef>
          </c:yVal>
          <c:smooth val="1"/>
        </c:ser>
        <c:ser>
          <c:idx val="15"/>
          <c:order val="15"/>
          <c:tx>
            <c:strRef>
              <c:f>INPUTS!$C$123</c:f>
              <c:strCache>
                <c:ptCount val="1"/>
                <c:pt idx="0">
                  <c:v>Arkalon, KS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INPUTS!$D$123:$AH$123</c:f>
              <c:numCache>
                <c:formatCode>"$"#,##0</c:formatCode>
                <c:ptCount val="31"/>
                <c:pt idx="0">
                  <c:v>-1.1E6</c:v>
                </c:pt>
                <c:pt idx="1">
                  <c:v>-1.02346233102114E6</c:v>
                </c:pt>
                <c:pt idx="2">
                  <c:v>-944398.9189659795</c:v>
                </c:pt>
                <c:pt idx="3">
                  <c:v>-862726.4143129977</c:v>
                </c:pt>
                <c:pt idx="4">
                  <c:v>-778358.7170064676</c:v>
                </c:pt>
                <c:pt idx="5">
                  <c:v>-691206.885688822</c:v>
                </c:pt>
                <c:pt idx="6">
                  <c:v>-601179.043937694</c:v>
                </c:pt>
                <c:pt idx="7">
                  <c:v>-508180.2834087788</c:v>
                </c:pt>
                <c:pt idx="8">
                  <c:v>-412112.5637824095</c:v>
                </c:pt>
                <c:pt idx="9">
                  <c:v>-312874.60940837</c:v>
                </c:pt>
                <c:pt idx="10">
                  <c:v>-210361.8025399871</c:v>
                </c:pt>
                <c:pt idx="11">
                  <c:v>-104466.0730449477</c:v>
                </c:pt>
                <c:pt idx="12">
                  <c:v>4924.21552342808</c:v>
                </c:pt>
                <c:pt idx="13">
                  <c:v>117924.3836145602</c:v>
                </c:pt>
                <c:pt idx="14">
                  <c:v>234653.5572526997</c:v>
                </c:pt>
                <c:pt idx="15">
                  <c:v>355234.7936208978</c:v>
                </c:pt>
                <c:pt idx="16">
                  <c:v>479795.2107892465</c:v>
                </c:pt>
                <c:pt idx="17">
                  <c:v>608466.1217241507</c:v>
                </c:pt>
                <c:pt idx="18">
                  <c:v>741383.1727199068</c:v>
                </c:pt>
                <c:pt idx="19">
                  <c:v>878686.4863985227</c:v>
                </c:pt>
                <c:pt idx="20">
                  <c:v>1.02052080942853E6</c:v>
                </c:pt>
                <c:pt idx="21">
                  <c:v>1.16703566511853E6</c:v>
                </c:pt>
                <c:pt idx="22">
                  <c:v>1.3183855110463E6</c:v>
                </c:pt>
                <c:pt idx="23">
                  <c:v>1.47472990188969E6</c:v>
                </c:pt>
                <c:pt idx="24">
                  <c:v>1.63623365763091E6</c:v>
                </c:pt>
                <c:pt idx="25">
                  <c:v>1.80306703731159E6</c:v>
                </c:pt>
                <c:pt idx="26">
                  <c:v>1.97540591852173E6</c:v>
                </c:pt>
                <c:pt idx="27">
                  <c:v>2.15343198281181E6</c:v>
                </c:pt>
                <c:pt idx="28">
                  <c:v>2.33733290722345E6</c:v>
                </c:pt>
                <c:pt idx="29">
                  <c:v>2.52730256214069E6</c:v>
                </c:pt>
                <c:pt idx="30">
                  <c:v>2.72354121567019E6</c:v>
                </c:pt>
              </c:numCache>
            </c:numRef>
          </c:yVal>
          <c:smooth val="1"/>
        </c:ser>
        <c:ser>
          <c:idx val="16"/>
          <c:order val="16"/>
          <c:tx>
            <c:strRef>
              <c:f>INPUTS!$C$124</c:f>
              <c:strCache>
                <c:ptCount val="1"/>
                <c:pt idx="0">
                  <c:v>Plainview, TX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INPUTS!$D$124:$AH$124</c:f>
              <c:numCache>
                <c:formatCode>"$"#,##0</c:formatCode>
                <c:ptCount val="31"/>
                <c:pt idx="0">
                  <c:v>-1.1E6</c:v>
                </c:pt>
                <c:pt idx="1">
                  <c:v>-1.014949434551E6</c:v>
                </c:pt>
                <c:pt idx="2">
                  <c:v>-927092.2004421835</c:v>
                </c:pt>
                <c:pt idx="3">
                  <c:v>-836335.6776077759</c:v>
                </c:pt>
                <c:pt idx="4">
                  <c:v>-742584.1895198328</c:v>
                </c:pt>
                <c:pt idx="5">
                  <c:v>-645738.9023249876</c:v>
                </c:pt>
                <c:pt idx="6">
                  <c:v>-545697.7206527125</c:v>
                </c:pt>
                <c:pt idx="7">
                  <c:v>-442355.1799852523</c:v>
                </c:pt>
                <c:pt idx="8">
                  <c:v>-335602.335475766</c:v>
                </c:pt>
                <c:pt idx="9">
                  <c:v>-225326.6470974666</c:v>
                </c:pt>
                <c:pt idx="10">
                  <c:v>-111411.8610026833</c:v>
                </c:pt>
                <c:pt idx="11">
                  <c:v>6262.113033227898</c:v>
                </c:pt>
                <c:pt idx="12">
                  <c:v>127819.3282123241</c:v>
                </c:pt>
                <c:pt idx="13">
                  <c:v>253387.9314923305</c:v>
                </c:pt>
                <c:pt idx="14">
                  <c:v>383100.298680577</c:v>
                </c:pt>
                <c:pt idx="15">
                  <c:v>517093.1739860358</c:v>
                </c:pt>
                <c:pt idx="16">
                  <c:v>655507.8141765747</c:v>
                </c:pt>
                <c:pt idx="17">
                  <c:v>798490.1374934013</c:v>
                </c:pt>
                <c:pt idx="18">
                  <c:v>946190.8774796833</c:v>
                </c:pt>
                <c:pt idx="19">
                  <c:v>1.09876574188551E6</c:v>
                </c:pt>
                <c:pt idx="20">
                  <c:v>1.25637557681673E6</c:v>
                </c:pt>
                <c:pt idx="21">
                  <c:v>1.41918653630069E6</c:v>
                </c:pt>
                <c:pt idx="22">
                  <c:v>1.58737025744761E6</c:v>
                </c:pt>
                <c:pt idx="23">
                  <c:v>1.76110404139238E6</c:v>
                </c:pt>
                <c:pt idx="24">
                  <c:v>1.94057104020733E6</c:v>
                </c:pt>
                <c:pt idx="25">
                  <c:v>2.12596044998317E6</c:v>
                </c:pt>
                <c:pt idx="26">
                  <c:v>2.31746771028161E6</c:v>
                </c:pt>
                <c:pt idx="27">
                  <c:v>2.51529471016991E6</c:v>
                </c:pt>
                <c:pt idx="28">
                  <c:v>2.71965000105451E6</c:v>
                </c:pt>
                <c:pt idx="29">
                  <c:v>2.93074901653831E6</c:v>
                </c:pt>
                <c:pt idx="30">
                  <c:v>3.14881429953307E6</c:v>
                </c:pt>
              </c:numCache>
            </c:numRef>
          </c:yVal>
          <c:smooth val="1"/>
        </c:ser>
        <c:ser>
          <c:idx val="17"/>
          <c:order val="17"/>
          <c:tx>
            <c:strRef>
              <c:f>INPUTS!$C$125</c:f>
              <c:strCache>
                <c:ptCount val="1"/>
                <c:pt idx="0">
                  <c:v>Imperial Valley, CA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INPUTS!$D$125:$AH$125</c:f>
              <c:numCache>
                <c:formatCode>"$"#,##0</c:formatCode>
                <c:ptCount val="31"/>
                <c:pt idx="0">
                  <c:v>-1.1E6</c:v>
                </c:pt>
                <c:pt idx="1">
                  <c:v>-1.00257293943874E6</c:v>
                </c:pt>
                <c:pt idx="2">
                  <c:v>-901930.785878957</c:v>
                </c:pt>
                <c:pt idx="3">
                  <c:v>-797967.441251702</c:v>
                </c:pt>
                <c:pt idx="4">
                  <c:v>-690573.3062517474</c:v>
                </c:pt>
                <c:pt idx="5">
                  <c:v>-579635.1647967944</c:v>
                </c:pt>
                <c:pt idx="6">
                  <c:v>-465036.064673828</c:v>
                </c:pt>
                <c:pt idx="7">
                  <c:v>-346655.1942468036</c:v>
                </c:pt>
                <c:pt idx="8">
                  <c:v>-224367.7550956875</c:v>
                </c:pt>
                <c:pt idx="9">
                  <c:v>-98044.83045258457</c:v>
                </c:pt>
                <c:pt idx="10">
                  <c:v>32446.75070374078</c:v>
                </c:pt>
                <c:pt idx="11">
                  <c:v>167244.5540382249</c:v>
                </c:pt>
                <c:pt idx="12">
                  <c:v>306490.6848827469</c:v>
                </c:pt>
                <c:pt idx="13">
                  <c:v>450331.9380451381</c:v>
                </c:pt>
                <c:pt idx="14">
                  <c:v>598919.9525618883</c:v>
                </c:pt>
                <c:pt idx="15">
                  <c:v>752411.3715576913</c:v>
                </c:pt>
                <c:pt idx="16">
                  <c:v>910968.0073803558</c:v>
                </c:pt>
                <c:pt idx="17">
                  <c:v>1.07475701218517E6</c:v>
                </c:pt>
                <c:pt idx="18">
                  <c:v>1.24395105414854E6</c:v>
                </c:pt>
                <c:pt idx="19">
                  <c:v>1.4187284994967E6</c:v>
                </c:pt>
                <c:pt idx="20">
                  <c:v>1.59927360054135E6</c:v>
                </c:pt>
                <c:pt idx="21">
                  <c:v>1.78577668992048E6</c:v>
                </c:pt>
                <c:pt idx="22">
                  <c:v>1.97843438124912E6</c:v>
                </c:pt>
                <c:pt idx="23">
                  <c:v>2.1774497763916E6</c:v>
                </c:pt>
                <c:pt idx="24">
                  <c:v>2.38303267957378E6</c:v>
                </c:pt>
                <c:pt idx="25">
                  <c:v>2.59539981856097E6</c:v>
                </c:pt>
                <c:pt idx="26">
                  <c:v>2.81477507313475E6</c:v>
                </c:pt>
                <c:pt idx="27">
                  <c:v>3.04138971110945E6</c:v>
                </c:pt>
                <c:pt idx="28">
                  <c:v>3.27548263213733E6</c:v>
                </c:pt>
                <c:pt idx="29">
                  <c:v>3.51730061955912E6</c:v>
                </c:pt>
                <c:pt idx="30">
                  <c:v>3.76709860056583E6</c:v>
                </c:pt>
              </c:numCache>
            </c:numRef>
          </c:yVal>
          <c:smooth val="1"/>
        </c:ser>
        <c:ser>
          <c:idx val="18"/>
          <c:order val="18"/>
          <c:tx>
            <c:strRef>
              <c:f>INPUTS!$C$126</c:f>
              <c:strCache>
                <c:ptCount val="1"/>
                <c:pt idx="0">
                  <c:v>Stockton, CA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INPUTS!$D$126:$AH$126</c:f>
              <c:numCache>
                <c:formatCode>"$"#,##0</c:formatCode>
                <c:ptCount val="31"/>
                <c:pt idx="0">
                  <c:v>-1.1E6</c:v>
                </c:pt>
                <c:pt idx="1">
                  <c:v>-1.01016374459713E6</c:v>
                </c:pt>
                <c:pt idx="2">
                  <c:v>-917362.892765959</c:v>
                </c:pt>
                <c:pt idx="3">
                  <c:v>-821499.6128243626</c:v>
                </c:pt>
                <c:pt idx="4">
                  <c:v>-722472.8446446934</c:v>
                </c:pt>
                <c:pt idx="5">
                  <c:v>-620178.1931150953</c:v>
                </c:pt>
                <c:pt idx="6">
                  <c:v>-514507.8180850203</c:v>
                </c:pt>
                <c:pt idx="7">
                  <c:v>-405350.3206789528</c:v>
                </c:pt>
                <c:pt idx="8">
                  <c:v>-292590.6258584852</c:v>
                </c:pt>
                <c:pt idx="9">
                  <c:v>-176109.8611089421</c:v>
                </c:pt>
                <c:pt idx="10">
                  <c:v>-55785.23112266413</c:v>
                </c:pt>
                <c:pt idx="11">
                  <c:v>68510.11165316104</c:v>
                </c:pt>
                <c:pt idx="12">
                  <c:v>196907.2007405884</c:v>
                </c:pt>
                <c:pt idx="13">
                  <c:v>329541.3937679009</c:v>
                </c:pt>
                <c:pt idx="14">
                  <c:v>466552.5151651148</c:v>
                </c:pt>
                <c:pt idx="15">
                  <c:v>608085.0035684366</c:v>
                </c:pt>
                <c:pt idx="16">
                  <c:v>754288.0640890681</c:v>
                </c:pt>
                <c:pt idx="17">
                  <c:v>905315.8256068804</c:v>
                </c:pt>
                <c:pt idx="18">
                  <c:v>1.06132750325478E6</c:v>
                </c:pt>
                <c:pt idx="19">
                  <c:v>1.22248756626506E6</c:v>
                </c:pt>
                <c:pt idx="20">
                  <c:v>1.38896591135468E6</c:v>
                </c:pt>
                <c:pt idx="21">
                  <c:v>1.56093804183226E6</c:v>
                </c:pt>
                <c:pt idx="22">
                  <c:v>1.7385852526156E6</c:v>
                </c:pt>
                <c:pt idx="23">
                  <c:v>1.92209482135478E6</c:v>
                </c:pt>
                <c:pt idx="24">
                  <c:v>2.11166020586237E6</c:v>
                </c:pt>
                <c:pt idx="25">
                  <c:v>2.3074812480587E6</c:v>
                </c:pt>
                <c:pt idx="26">
                  <c:v>2.50976438464751E6</c:v>
                </c:pt>
                <c:pt idx="27">
                  <c:v>2.71872286474375E6</c:v>
                </c:pt>
                <c:pt idx="28">
                  <c:v>2.93457697468316E6</c:v>
                </c:pt>
                <c:pt idx="29">
                  <c:v>3.15755427025058E6</c:v>
                </c:pt>
                <c:pt idx="30">
                  <c:v>3.38788981657172E6</c:v>
                </c:pt>
              </c:numCache>
            </c:numRef>
          </c:yVal>
          <c:smooth val="1"/>
        </c:ser>
        <c:ser>
          <c:idx val="19"/>
          <c:order val="19"/>
          <c:tx>
            <c:strRef>
              <c:f>INPUTS!$C$127</c:f>
              <c:strCache>
                <c:ptCount val="1"/>
                <c:pt idx="0">
                  <c:v>Maricopa, AZ</c:v>
                </c:pt>
              </c:strCache>
            </c:strRef>
          </c:tx>
          <c:xVal>
            <c:numRef>
              <c:f>INPUTS!$D$107:$AH$107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INPUTS!$D$127:$AH$127</c:f>
              <c:numCache>
                <c:formatCode>"$"#,##0</c:formatCode>
                <c:ptCount val="31"/>
                <c:pt idx="0">
                  <c:v>-1.1E6</c:v>
                </c:pt>
                <c:pt idx="1">
                  <c:v>-1.00121168746657E6</c:v>
                </c:pt>
                <c:pt idx="2">
                  <c:v>-899163.360619538</c:v>
                </c:pt>
                <c:pt idx="3">
                  <c:v>-793747.4389865534</c:v>
                </c:pt>
                <c:pt idx="4">
                  <c:v>-684852.7919396803</c:v>
                </c:pt>
                <c:pt idx="5">
                  <c:v>-572364.6215402604</c:v>
                </c:pt>
                <c:pt idx="6">
                  <c:v>-456164.3415176596</c:v>
                </c:pt>
                <c:pt idx="7">
                  <c:v>-336129.452254313</c:v>
                </c:pt>
                <c:pt idx="8">
                  <c:v>-212133.4116452759</c:v>
                </c:pt>
                <c:pt idx="9">
                  <c:v>-84045.5016961407</c:v>
                </c:pt>
                <c:pt idx="10">
                  <c:v>48269.30928131602</c:v>
                </c:pt>
                <c:pt idx="11">
                  <c:v>184950.5090210288</c:v>
                </c:pt>
                <c:pt idx="12">
                  <c:v>326142.1883521521</c:v>
                </c:pt>
                <c:pt idx="13">
                  <c:v>471993.1931012025</c:v>
                </c:pt>
                <c:pt idx="14">
                  <c:v>622657.2810069715</c:v>
                </c:pt>
                <c:pt idx="15">
                  <c:v>778293.283813631</c:v>
                </c:pt>
                <c:pt idx="16">
                  <c:v>939065.2747129102</c:v>
                </c:pt>
                <c:pt idx="17">
                  <c:v>1.10514274131187E6</c:v>
                </c:pt>
                <c:pt idx="18">
                  <c:v>1.27670076430859E6</c:v>
                </c:pt>
                <c:pt idx="19">
                  <c:v>1.4539202020642E6</c:v>
                </c:pt>
                <c:pt idx="20">
                  <c:v>1.63698788126575E6</c:v>
                </c:pt>
                <c:pt idx="21">
                  <c:v>1.82609679388095E6</c:v>
                </c:pt>
                <c:pt idx="22">
                  <c:v>2.02144630061245E6</c:v>
                </c:pt>
                <c:pt idx="23">
                  <c:v>2.22324234106609E6</c:v>
                </c:pt>
                <c:pt idx="24">
                  <c:v>2.4316976508547E6</c:v>
                </c:pt>
                <c:pt idx="25">
                  <c:v>2.64703198586633E6</c:v>
                </c:pt>
                <c:pt idx="26">
                  <c:v>2.86947235393335E6</c:v>
                </c:pt>
                <c:pt idx="27">
                  <c:v>3.09925325414658E6</c:v>
                </c:pt>
                <c:pt idx="28">
                  <c:v>3.33661692406685E6</c:v>
                </c:pt>
                <c:pt idx="29">
                  <c:v>3.58181359509448E6</c:v>
                </c:pt>
                <c:pt idx="30">
                  <c:v>3.83510175626603E6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3695304"/>
        <c:axId val="2083689768"/>
      </c:scatterChart>
      <c:valAx>
        <c:axId val="2083695304"/>
        <c:scaling>
          <c:orientation val="minMax"/>
          <c:max val="3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Years After Installation</a:t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tickLblPos val="nextTo"/>
        <c:spPr>
          <a:ln w="28575" cmpd="sng"/>
        </c:spPr>
        <c:crossAx val="2083689768"/>
        <c:crosses val="autoZero"/>
        <c:crossBetween val="midCat"/>
        <c:majorUnit val="2.0"/>
      </c:valAx>
      <c:valAx>
        <c:axId val="2083689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</a:t>
                </a:r>
                <a:r>
                  <a:rPr lang="en-US" baseline="0"/>
                  <a:t> Savings</a:t>
                </a:r>
                <a:endParaRPr lang="en-US"/>
              </a:p>
            </c:rich>
          </c:tx>
          <c:overlay val="0"/>
        </c:title>
        <c:numFmt formatCode="&quot;$&quot;#,##0" sourceLinked="1"/>
        <c:majorTickMark val="none"/>
        <c:minorTickMark val="none"/>
        <c:tickLblPos val="nextTo"/>
        <c:crossAx val="20836953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Cumulative Cost Savings Over Wind Turbine Lifespan</a:t>
            </a:r>
          </a:p>
        </c:rich>
      </c:tx>
      <c:layout>
        <c:manualLayout>
          <c:xMode val="edge"/>
          <c:yMode val="edge"/>
          <c:x val="0.462673238863842"/>
          <c:y val="0.0293501048218029"/>
        </c:manualLayout>
      </c:layout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INPUTS!$C$132</c:f>
              <c:strCache>
                <c:ptCount val="1"/>
                <c:pt idx="0">
                  <c:v>Town, USA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INPUTS!$D$132:$AH$132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-2.29602937460388E6</c:v>
                </c:pt>
                <c:pt idx="2">
                  <c:v>-1.88397933669984E6</c:v>
                </c:pt>
                <c:pt idx="3">
                  <c:v>-1.46368829803771E6</c:v>
                </c:pt>
                <c:pt idx="4">
                  <c:v>-1.03499143860235E6</c:v>
                </c:pt>
                <c:pt idx="5">
                  <c:v>-597720.6419782755</c:v>
                </c:pt>
                <c:pt idx="6">
                  <c:v>-151704.4294217209</c:v>
                </c:pt>
                <c:pt idx="7">
                  <c:v>303232.1073859648</c:v>
                </c:pt>
                <c:pt idx="8">
                  <c:v>767267.3749298044</c:v>
                </c:pt>
                <c:pt idx="9">
                  <c:v>1.24058334782452E6</c:v>
                </c:pt>
                <c:pt idx="10">
                  <c:v>1.72336564017713E6</c:v>
                </c:pt>
                <c:pt idx="11">
                  <c:v>2.21580357837679E6</c:v>
                </c:pt>
                <c:pt idx="12">
                  <c:v>2.71809027534045E6</c:v>
                </c:pt>
                <c:pt idx="13">
                  <c:v>3.23042270624338E6</c:v>
                </c:pt>
                <c:pt idx="14">
                  <c:v>3.75300178576437E6</c:v>
                </c:pt>
                <c:pt idx="15">
                  <c:v>4.28603244687578E6</c:v>
                </c:pt>
                <c:pt idx="16">
                  <c:v>4.82972372120941E6</c:v>
                </c:pt>
                <c:pt idx="17">
                  <c:v>5.38428882102972E6</c:v>
                </c:pt>
                <c:pt idx="18">
                  <c:v>5.94994522284643E6</c:v>
                </c:pt>
                <c:pt idx="19">
                  <c:v>6.52691475269948E6</c:v>
                </c:pt>
                <c:pt idx="20">
                  <c:v>7.11542367314959E6</c:v>
                </c:pt>
                <c:pt idx="21">
                  <c:v>7.7157027720087E6</c:v>
                </c:pt>
                <c:pt idx="22">
                  <c:v>8.327987452845E6</c:v>
                </c:pt>
                <c:pt idx="23">
                  <c:v>8.95251782729802E6</c:v>
                </c:pt>
                <c:pt idx="24">
                  <c:v>9.5895388092401E6</c:v>
                </c:pt>
                <c:pt idx="25">
                  <c:v>1.0239300210821E7</c:v>
                </c:pt>
                <c:pt idx="26">
                  <c:v>1.09020568404336E7</c:v>
                </c:pt>
                <c:pt idx="27">
                  <c:v>1.15780686026384E7</c:v>
                </c:pt>
                <c:pt idx="28">
                  <c:v>1.22676006000872E7</c:v>
                </c:pt>
                <c:pt idx="29">
                  <c:v>1.29709232374851E7</c:v>
                </c:pt>
                <c:pt idx="30">
                  <c:v>1.36883123276309E7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INPUTS!$C$133</c:f>
              <c:strCache>
                <c:ptCount val="1"/>
                <c:pt idx="0">
                  <c:v>City, USA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INPUTS!$D$133:$AH$133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-2.2928822629998E6</c:v>
                </c:pt>
                <c:pt idx="2">
                  <c:v>-1.8776221712596E6</c:v>
                </c:pt>
                <c:pt idx="3">
                  <c:v>-1.45405687768459E6</c:v>
                </c:pt>
                <c:pt idx="4">
                  <c:v>-1.02202027823808E6</c:v>
                </c:pt>
                <c:pt idx="5">
                  <c:v>-581342.9468026426</c:v>
                </c:pt>
                <c:pt idx="6">
                  <c:v>-131852.0687384958</c:v>
                </c:pt>
                <c:pt idx="7">
                  <c:v>326628.6268869341</c:v>
                </c:pt>
                <c:pt idx="8">
                  <c:v>794278.9364248726</c:v>
                </c:pt>
                <c:pt idx="9">
                  <c:v>1.27128225215357E6</c:v>
                </c:pt>
                <c:pt idx="10">
                  <c:v>1.75782563419684E6</c:v>
                </c:pt>
                <c:pt idx="11">
                  <c:v>2.25409988388098E6</c:v>
                </c:pt>
                <c:pt idx="12">
                  <c:v>2.7602996185588E6</c:v>
                </c:pt>
                <c:pt idx="13">
                  <c:v>3.27662334793017E6</c:v>
                </c:pt>
                <c:pt idx="14">
                  <c:v>3.80327355188898E6</c:v>
                </c:pt>
                <c:pt idx="15">
                  <c:v>4.34045675992696E6</c:v>
                </c:pt>
                <c:pt idx="16">
                  <c:v>4.88838363212569E6</c:v>
                </c:pt>
                <c:pt idx="17">
                  <c:v>5.44726904176841E6</c:v>
                </c:pt>
                <c:pt idx="18">
                  <c:v>6.01733215960398E6</c:v>
                </c:pt>
                <c:pt idx="19">
                  <c:v>6.59879653979625E6</c:v>
                </c:pt>
                <c:pt idx="20">
                  <c:v>7.19189020759238E6</c:v>
                </c:pt>
                <c:pt idx="21">
                  <c:v>7.79684574874443E6</c:v>
                </c:pt>
                <c:pt idx="22">
                  <c:v>8.41390040071951E6</c:v>
                </c:pt>
                <c:pt idx="23">
                  <c:v>9.0432961457341E6</c:v>
                </c:pt>
                <c:pt idx="24">
                  <c:v>9.68527980564899E6</c:v>
                </c:pt>
                <c:pt idx="25">
                  <c:v>1.03401031387622E7</c:v>
                </c:pt>
                <c:pt idx="26">
                  <c:v>1.10080229385376E7</c:v>
                </c:pt>
                <c:pt idx="27">
                  <c:v>1.16893011343086E7</c:v>
                </c:pt>
                <c:pt idx="28">
                  <c:v>1.23842048939949E7</c:v>
                </c:pt>
                <c:pt idx="29">
                  <c:v>1.3093006728875E7</c:v>
                </c:pt>
                <c:pt idx="30">
                  <c:v>1.38159846004527E7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INPUTS!$C$134</c:f>
              <c:strCache>
                <c:ptCount val="1"/>
                <c:pt idx="0">
                  <c:v>Logansport, IN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INPUTS!$D$134:$AH$134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-2.41490176815555E6</c:v>
                </c:pt>
                <c:pt idx="2">
                  <c:v>-2.12410157167421E6</c:v>
                </c:pt>
                <c:pt idx="3">
                  <c:v>-1.82748537126324E6</c:v>
                </c:pt>
                <c:pt idx="4">
                  <c:v>-1.52493684684406E6</c:v>
                </c:pt>
                <c:pt idx="5">
                  <c:v>-1.21633735193649E6</c:v>
                </c:pt>
                <c:pt idx="6">
                  <c:v>-901565.8671307701</c:v>
                </c:pt>
                <c:pt idx="7">
                  <c:v>-580498.9526289352</c:v>
                </c:pt>
                <c:pt idx="8">
                  <c:v>-253010.6998370637</c:v>
                </c:pt>
                <c:pt idx="9">
                  <c:v>81027.3180106452</c:v>
                </c:pt>
                <c:pt idx="10">
                  <c:v>421746.0962153084</c:v>
                </c:pt>
                <c:pt idx="11">
                  <c:v>769279.2499840648</c:v>
                </c:pt>
                <c:pt idx="12">
                  <c:v>1.1237630668282E6</c:v>
                </c:pt>
                <c:pt idx="13">
                  <c:v>1.48533656000921E6</c:v>
                </c:pt>
                <c:pt idx="14">
                  <c:v>1.85414152305384E6</c:v>
                </c:pt>
                <c:pt idx="15">
                  <c:v>2.23032258535937E6</c:v>
                </c:pt>
                <c:pt idx="16">
                  <c:v>2.61402726891101E6</c:v>
                </c:pt>
                <c:pt idx="17">
                  <c:v>3.00540604613368E6</c:v>
                </c:pt>
                <c:pt idx="18">
                  <c:v>3.4046123989008E6</c:v>
                </c:pt>
                <c:pt idx="19">
                  <c:v>3.81180287872327E6</c:v>
                </c:pt>
                <c:pt idx="20">
                  <c:v>4.22713716814219E6</c:v>
                </c:pt>
                <c:pt idx="21">
                  <c:v>4.65077814334948E6</c:v>
                </c:pt>
                <c:pt idx="22">
                  <c:v>5.08289193806092E6</c:v>
                </c:pt>
                <c:pt idx="23">
                  <c:v>5.52364800866659E6</c:v>
                </c:pt>
                <c:pt idx="24">
                  <c:v>5.97321920068437E6</c:v>
                </c:pt>
                <c:pt idx="25">
                  <c:v>6.43178181654251E6</c:v>
                </c:pt>
                <c:pt idx="26">
                  <c:v>6.89951568471781E6</c:v>
                </c:pt>
                <c:pt idx="27">
                  <c:v>7.37660423025661E6</c:v>
                </c:pt>
                <c:pt idx="28">
                  <c:v>7.8632345467062E6</c:v>
                </c:pt>
                <c:pt idx="29">
                  <c:v>8.35959746948477E6</c:v>
                </c:pt>
                <c:pt idx="30">
                  <c:v>8.86588765071891E6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INPUTS!$C$135</c:f>
              <c:strCache>
                <c:ptCount val="1"/>
                <c:pt idx="0">
                  <c:v>Gibson City, IL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INPUTS!$D$135:$AH$135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-2.41650877777249E6</c:v>
                </c:pt>
                <c:pt idx="2">
                  <c:v>-2.12734773110042E6</c:v>
                </c:pt>
                <c:pt idx="3">
                  <c:v>-1.83240346349492E6</c:v>
                </c:pt>
                <c:pt idx="4">
                  <c:v>-1.53156031053731E6</c:v>
                </c:pt>
                <c:pt idx="5">
                  <c:v>-1.22470029452054E6</c:v>
                </c:pt>
                <c:pt idx="6">
                  <c:v>-911703.078183437</c:v>
                </c:pt>
                <c:pt idx="7">
                  <c:v>-592445.9175195929</c:v>
                </c:pt>
                <c:pt idx="8">
                  <c:v>-266803.613642472</c:v>
                </c:pt>
                <c:pt idx="9">
                  <c:v>65351.53631219151</c:v>
                </c:pt>
                <c:pt idx="10">
                  <c:v>404149.7892659482</c:v>
                </c:pt>
                <c:pt idx="11">
                  <c:v>749724.00727878</c:v>
                </c:pt>
                <c:pt idx="12">
                  <c:v>1.10220970965187E6</c:v>
                </c:pt>
                <c:pt idx="13">
                  <c:v>1.46174512607242E6</c:v>
                </c:pt>
                <c:pt idx="14">
                  <c:v>1.82847125082138E6</c:v>
                </c:pt>
                <c:pt idx="15">
                  <c:v>2.20253189806532E6</c:v>
                </c:pt>
                <c:pt idx="16">
                  <c:v>2.58407375825414E6</c:v>
                </c:pt>
                <c:pt idx="17">
                  <c:v>2.97324645564673E6</c:v>
                </c:pt>
                <c:pt idx="18">
                  <c:v>3.37020260698718E6</c:v>
                </c:pt>
                <c:pt idx="19">
                  <c:v>3.77509788135444E6</c:v>
                </c:pt>
                <c:pt idx="20">
                  <c:v>4.18809106120904E6</c:v>
                </c:pt>
                <c:pt idx="21">
                  <c:v>4.60934410466073E6</c:v>
                </c:pt>
                <c:pt idx="22">
                  <c:v>5.03902220898146E6</c:v>
                </c:pt>
                <c:pt idx="23">
                  <c:v>5.4772938753886E6</c:v>
                </c:pt>
                <c:pt idx="24">
                  <c:v>5.92433097512389E6</c:v>
                </c:pt>
                <c:pt idx="25">
                  <c:v>6.38030881685388E6</c:v>
                </c:pt>
                <c:pt idx="26">
                  <c:v>6.84540621541847E6</c:v>
                </c:pt>
                <c:pt idx="27">
                  <c:v>7.31980556195435E6</c:v>
                </c:pt>
                <c:pt idx="28">
                  <c:v>7.80369289542095E6</c:v>
                </c:pt>
                <c:pt idx="29">
                  <c:v>8.29725797555688E6</c:v>
                </c:pt>
                <c:pt idx="30">
                  <c:v>8.80069435729553E6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INPUTS!$C$136</c:f>
              <c:strCache>
                <c:ptCount val="1"/>
                <c:pt idx="0">
                  <c:v>Cambria, WI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INPUTS!$D$136:$AH$136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-2.4468343337686E6</c:v>
                </c:pt>
                <c:pt idx="2">
                  <c:v>-2.18860535421258E6</c:v>
                </c:pt>
                <c:pt idx="3">
                  <c:v>-1.92521179506543E6</c:v>
                </c:pt>
                <c:pt idx="4">
                  <c:v>-1.65655036473534E6</c:v>
                </c:pt>
                <c:pt idx="5">
                  <c:v>-1.38251570579865E6</c:v>
                </c:pt>
                <c:pt idx="6">
                  <c:v>-1.10300035368323E6</c:v>
                </c:pt>
                <c:pt idx="7">
                  <c:v>-817894.6945254963</c:v>
                </c:pt>
                <c:pt idx="8">
                  <c:v>-527086.9221846088</c:v>
                </c:pt>
                <c:pt idx="9">
                  <c:v>-230462.9943969037</c:v>
                </c:pt>
                <c:pt idx="10">
                  <c:v>72093.41194655548</c:v>
                </c:pt>
                <c:pt idx="11">
                  <c:v>380700.946416884</c:v>
                </c:pt>
                <c:pt idx="12">
                  <c:v>695480.6315766188</c:v>
                </c:pt>
                <c:pt idx="13">
                  <c:v>1.01655591043955E6</c:v>
                </c:pt>
                <c:pt idx="14">
                  <c:v>1.34405269487974E6</c:v>
                </c:pt>
                <c:pt idx="15">
                  <c:v>1.67809941500873E6</c:v>
                </c:pt>
                <c:pt idx="16">
                  <c:v>2.0188270695403E6</c:v>
                </c:pt>
                <c:pt idx="17">
                  <c:v>2.3663692771625E6</c:v>
                </c:pt>
                <c:pt idx="18">
                  <c:v>2.72086232893715E6</c:v>
                </c:pt>
                <c:pt idx="19">
                  <c:v>3.08244524174729E6</c:v>
                </c:pt>
                <c:pt idx="20">
                  <c:v>3.45125981281363E6</c:v>
                </c:pt>
                <c:pt idx="21">
                  <c:v>3.8274506753013E6</c:v>
                </c:pt>
                <c:pt idx="22">
                  <c:v>4.21116535503873E6</c:v>
                </c:pt>
                <c:pt idx="23">
                  <c:v>4.6025543283709E6</c:v>
                </c:pt>
                <c:pt idx="24">
                  <c:v>5.00177108116972E6</c:v>
                </c:pt>
                <c:pt idx="25">
                  <c:v>5.40897216902451E6</c:v>
                </c:pt>
                <c:pt idx="26">
                  <c:v>5.82431727863639E6</c:v>
                </c:pt>
                <c:pt idx="27">
                  <c:v>6.24796929044052E6</c:v>
                </c:pt>
                <c:pt idx="28">
                  <c:v>6.68009434248073E6</c:v>
                </c:pt>
                <c:pt idx="29">
                  <c:v>7.12086189556174E6</c:v>
                </c:pt>
                <c:pt idx="30">
                  <c:v>7.57044479970437E6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INPUTS!$C$137</c:f>
              <c:strCache>
                <c:ptCount val="1"/>
                <c:pt idx="0">
                  <c:v>Marshall, MN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INPUTS!$D$137:$AH$137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-2.46590036065993E6</c:v>
                </c:pt>
                <c:pt idx="2">
                  <c:v>-2.22711872853306E6</c:v>
                </c:pt>
                <c:pt idx="3">
                  <c:v>-1.98356146376365E6</c:v>
                </c:pt>
                <c:pt idx="4">
                  <c:v>-1.73513305369885E6</c:v>
                </c:pt>
                <c:pt idx="5">
                  <c:v>-1.48173607543276E6</c:v>
                </c:pt>
                <c:pt idx="6">
                  <c:v>-1.22327115760135E6</c:v>
                </c:pt>
                <c:pt idx="7">
                  <c:v>-959636.9414133053</c:v>
                </c:pt>
                <c:pt idx="8">
                  <c:v>-690730.0409015018</c:v>
                </c:pt>
                <c:pt idx="9">
                  <c:v>-416445.0023794624</c:v>
                </c:pt>
                <c:pt idx="10">
                  <c:v>-136674.2630869821</c:v>
                </c:pt>
                <c:pt idx="11">
                  <c:v>148691.8909913478</c:v>
                </c:pt>
                <c:pt idx="12">
                  <c:v>439765.3681512442</c:v>
                </c:pt>
                <c:pt idx="13">
                  <c:v>736660.3148543386</c:v>
                </c:pt>
                <c:pt idx="14">
                  <c:v>1.03949316049149E6</c:v>
                </c:pt>
                <c:pt idx="15">
                  <c:v>1.34838266304139E6</c:v>
                </c:pt>
                <c:pt idx="16">
                  <c:v>1.66344995564229E6</c:v>
                </c:pt>
                <c:pt idx="17">
                  <c:v>1.98481859409521E6</c:v>
                </c:pt>
                <c:pt idx="18">
                  <c:v>2.31261460531718E6</c:v>
                </c:pt>
                <c:pt idx="19">
                  <c:v>2.64696653676359E6</c:v>
                </c:pt>
                <c:pt idx="20">
                  <c:v>2.98800550683894E6</c:v>
                </c:pt>
                <c:pt idx="21">
                  <c:v>3.33586525631578E6</c:v>
                </c:pt>
                <c:pt idx="22">
                  <c:v>3.69068220078217E6</c:v>
                </c:pt>
                <c:pt idx="23">
                  <c:v>4.05259548413788E6</c:v>
                </c:pt>
                <c:pt idx="24">
                  <c:v>4.42174703316071E6</c:v>
                </c:pt>
                <c:pt idx="25">
                  <c:v>4.79828161316399E6</c:v>
                </c:pt>
                <c:pt idx="26">
                  <c:v>5.18234688476734E6</c:v>
                </c:pt>
                <c:pt idx="27">
                  <c:v>5.57409346180276E6</c:v>
                </c:pt>
                <c:pt idx="28">
                  <c:v>5.97367497037888E6</c:v>
                </c:pt>
                <c:pt idx="29">
                  <c:v>6.38124810912653E6</c:v>
                </c:pt>
                <c:pt idx="30">
                  <c:v>6.79697271064913E6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INPUTS!$C$138</c:f>
              <c:strCache>
                <c:ptCount val="1"/>
                <c:pt idx="0">
                  <c:v>Watertown, SD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INPUTS!$D$138:$AH$138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-2.32455858697993E6</c:v>
                </c:pt>
                <c:pt idx="2">
                  <c:v>-1.94160834569946E6</c:v>
                </c:pt>
                <c:pt idx="3">
                  <c:v>-1.55099909959338E6</c:v>
                </c:pt>
                <c:pt idx="4">
                  <c:v>-1.15257766856518E6</c:v>
                </c:pt>
                <c:pt idx="5">
                  <c:v>-746187.8089164171</c:v>
                </c:pt>
                <c:pt idx="6">
                  <c:v>-331670.1520746771</c:v>
                </c:pt>
                <c:pt idx="7">
                  <c:v>91137.85790389787</c:v>
                </c:pt>
                <c:pt idx="8">
                  <c:v>522402.0280820443</c:v>
                </c:pt>
                <c:pt idx="9">
                  <c:v>962291.4816637537</c:v>
                </c:pt>
                <c:pt idx="10">
                  <c:v>1.4109787243171E6</c:v>
                </c:pt>
                <c:pt idx="11">
                  <c:v>1.86863971182351E6</c:v>
                </c:pt>
                <c:pt idx="12">
                  <c:v>2.33545391908005E6</c:v>
                </c:pt>
                <c:pt idx="13">
                  <c:v>2.81160441048172E6</c:v>
                </c:pt>
                <c:pt idx="14">
                  <c:v>3.29727791171142E6</c:v>
                </c:pt>
                <c:pt idx="15">
                  <c:v>3.79266488296572E6</c:v>
                </c:pt>
                <c:pt idx="16">
                  <c:v>4.2979595936451E6</c:v>
                </c:pt>
                <c:pt idx="17">
                  <c:v>4.81336019853807E6</c:v>
                </c:pt>
                <c:pt idx="18">
                  <c:v>5.3390688155289E6</c:v>
                </c:pt>
                <c:pt idx="19">
                  <c:v>5.87529160485954E6</c:v>
                </c:pt>
                <c:pt idx="20">
                  <c:v>6.4222388499768E6</c:v>
                </c:pt>
                <c:pt idx="21">
                  <c:v>6.98012503999641E6</c:v>
                </c:pt>
                <c:pt idx="22">
                  <c:v>7.54916895381641E6</c:v>
                </c:pt>
                <c:pt idx="23">
                  <c:v>8.1295937459128E6</c:v>
                </c:pt>
                <c:pt idx="24">
                  <c:v>8.72162703385113E6</c:v>
                </c:pt>
                <c:pt idx="25">
                  <c:v>9.32550098754822E6</c:v>
                </c:pt>
                <c:pt idx="26">
                  <c:v>9.94145242031925E6</c:v>
                </c:pt>
                <c:pt idx="27">
                  <c:v>1.05697228817457E7</c:v>
                </c:pt>
                <c:pt idx="28">
                  <c:v>1.12105587524007E7</c:v>
                </c:pt>
                <c:pt idx="29">
                  <c:v>1.18642113404688E7</c:v>
                </c:pt>
                <c:pt idx="30">
                  <c:v>1.25309369802982E7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INPUTS!$C$139</c:f>
              <c:strCache>
                <c:ptCount val="1"/>
                <c:pt idx="0">
                  <c:v>Richardton, ND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INPUTS!$D$139:$AH$139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-2.33289558852361E6</c:v>
                </c:pt>
                <c:pt idx="2">
                  <c:v>-1.9584490888177E6</c:v>
                </c:pt>
                <c:pt idx="3">
                  <c:v>-1.57651365911767E6</c:v>
                </c:pt>
                <c:pt idx="4">
                  <c:v>-1.18693952082363E6</c:v>
                </c:pt>
                <c:pt idx="5">
                  <c:v>-789573.8997637171</c:v>
                </c:pt>
                <c:pt idx="6">
                  <c:v>-384260.9662826044</c:v>
                </c:pt>
                <c:pt idx="7">
                  <c:v>29158.22586813051</c:v>
                </c:pt>
                <c:pt idx="8">
                  <c:v>450845.8018618802</c:v>
                </c:pt>
                <c:pt idx="9">
                  <c:v>880967.1293755048</c:v>
                </c:pt>
                <c:pt idx="10">
                  <c:v>1.3196908834394E6</c:v>
                </c:pt>
                <c:pt idx="11">
                  <c:v>1.76718911258458E6</c:v>
                </c:pt>
                <c:pt idx="12">
                  <c:v>2.22363730631266E6</c:v>
                </c:pt>
                <c:pt idx="13">
                  <c:v>2.6892144639153E6</c:v>
                </c:pt>
                <c:pt idx="14">
                  <c:v>3.16410316466999E6</c:v>
                </c:pt>
                <c:pt idx="15">
                  <c:v>3.64848963943978E6</c:v>
                </c:pt>
                <c:pt idx="16">
                  <c:v>4.14256384370496E6</c:v>
                </c:pt>
                <c:pt idx="17">
                  <c:v>4.64651953205544E6</c:v>
                </c:pt>
                <c:pt idx="18">
                  <c:v>5.16055433417294E6</c:v>
                </c:pt>
                <c:pt idx="19">
                  <c:v>5.68486983233278E6</c:v>
                </c:pt>
                <c:pt idx="20">
                  <c:v>6.21967164045583E6</c:v>
                </c:pt>
                <c:pt idx="21">
                  <c:v>6.76516948474133E6</c:v>
                </c:pt>
                <c:pt idx="22">
                  <c:v>7.32157728591255E6</c:v>
                </c:pt>
                <c:pt idx="23">
                  <c:v>7.88911324310718E6</c:v>
                </c:pt>
                <c:pt idx="24">
                  <c:v>8.46799991944571E6</c:v>
                </c:pt>
                <c:pt idx="25">
                  <c:v>9.05846432931101E6</c:v>
                </c:pt>
                <c:pt idx="26">
                  <c:v>9.66073802737362E6</c:v>
                </c:pt>
                <c:pt idx="27">
                  <c:v>1.02750571993975E7</c:v>
                </c:pt>
                <c:pt idx="28">
                  <c:v>1.09016627548618E7</c:v>
                </c:pt>
                <c:pt idx="29">
                  <c:v>1.15408004214354E7</c:v>
                </c:pt>
                <c:pt idx="30">
                  <c:v>1.21927208413405E7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INPUTS!$C$140</c:f>
              <c:strCache>
                <c:ptCount val="1"/>
                <c:pt idx="0">
                  <c:v>Arthur, IA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INPUTS!$D$140:$AH$140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-2.42342835472819E6</c:v>
                </c:pt>
                <c:pt idx="2">
                  <c:v>-2.14132527655094E6</c:v>
                </c:pt>
                <c:pt idx="3">
                  <c:v>-1.85358013681014E6</c:v>
                </c:pt>
                <c:pt idx="4">
                  <c:v>-1.56008009427453E6</c:v>
                </c:pt>
                <c:pt idx="5">
                  <c:v>-1.26071005088821E6</c:v>
                </c:pt>
                <c:pt idx="6">
                  <c:v>-955352.6066341602</c:v>
                </c:pt>
                <c:pt idx="7">
                  <c:v>-643888.01349503</c:v>
                </c:pt>
                <c:pt idx="8">
                  <c:v>-326194.1284931173</c:v>
                </c:pt>
                <c:pt idx="9">
                  <c:v>-2146.365791166318</c:v>
                </c:pt>
                <c:pt idx="10">
                  <c:v>328382.3521648237</c:v>
                </c:pt>
                <c:pt idx="11">
                  <c:v>665521.6444799337</c:v>
                </c:pt>
                <c:pt idx="12">
                  <c:v>1.00940372264135E6</c:v>
                </c:pt>
                <c:pt idx="13">
                  <c:v>1.36016344236599E6</c:v>
                </c:pt>
                <c:pt idx="14">
                  <c:v>1.71793835648512E6</c:v>
                </c:pt>
                <c:pt idx="15">
                  <c:v>2.08286876888663E6</c:v>
                </c:pt>
                <c:pt idx="16">
                  <c:v>2.45509778953618E6</c:v>
                </c:pt>
                <c:pt idx="17">
                  <c:v>2.83477139059872E6</c:v>
                </c:pt>
                <c:pt idx="18">
                  <c:v>3.2220384636825E6</c:v>
                </c:pt>
                <c:pt idx="19">
                  <c:v>3.61705087822797E6</c:v>
                </c:pt>
                <c:pt idx="20">
                  <c:v>4.01996354106434E6</c:v>
                </c:pt>
                <c:pt idx="21">
                  <c:v>4.43093445715744E6</c:v>
                </c:pt>
                <c:pt idx="22">
                  <c:v>4.8501247915724E6</c:v>
                </c:pt>
                <c:pt idx="23">
                  <c:v>5.27769893267566E6</c:v>
                </c:pt>
                <c:pt idx="24">
                  <c:v>5.71382455660099E6</c:v>
                </c:pt>
                <c:pt idx="25">
                  <c:v>6.15867269300482E6</c:v>
                </c:pt>
                <c:pt idx="26">
                  <c:v>6.61241779213673E6</c:v>
                </c:pt>
                <c:pt idx="27">
                  <c:v>7.07523779325128E6</c:v>
                </c:pt>
                <c:pt idx="28">
                  <c:v>7.54731419438812E6</c:v>
                </c:pt>
                <c:pt idx="29">
                  <c:v>8.0288321235477E6</c:v>
                </c:pt>
                <c:pt idx="30">
                  <c:v>8.51998041129046E6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INPUTS!$C$141</c:f>
              <c:strCache>
                <c:ptCount val="1"/>
                <c:pt idx="0">
                  <c:v>St. Joseph, MO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INPUTS!$D$141:$AH$141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-2.43934975719334E6</c:v>
                </c:pt>
                <c:pt idx="2">
                  <c:v>-2.17348650953054E6</c:v>
                </c:pt>
                <c:pt idx="3">
                  <c:v>-1.90230599691449E6</c:v>
                </c:pt>
                <c:pt idx="4">
                  <c:v>-1.62570187404611E6</c:v>
                </c:pt>
                <c:pt idx="5">
                  <c:v>-1.34356566872037E6</c:v>
                </c:pt>
                <c:pt idx="6">
                  <c:v>-1.05578673928811E6</c:v>
                </c:pt>
                <c:pt idx="7">
                  <c:v>-762252.231267212</c:v>
                </c:pt>
                <c:pt idx="8">
                  <c:v>-462847.0330858923</c:v>
                </c:pt>
                <c:pt idx="9">
                  <c:v>-157453.7309409462</c:v>
                </c:pt>
                <c:pt idx="10">
                  <c:v>154047.4372468988</c:v>
                </c:pt>
                <c:pt idx="11">
                  <c:v>471778.6287985007</c:v>
                </c:pt>
                <c:pt idx="12">
                  <c:v>795864.4441811347</c:v>
                </c:pt>
                <c:pt idx="13">
                  <c:v>1.12643197587142E6</c:v>
                </c:pt>
                <c:pt idx="14">
                  <c:v>1.46361085819551E6</c:v>
                </c:pt>
                <c:pt idx="15">
                  <c:v>1.80753331816609E6</c:v>
                </c:pt>
                <c:pt idx="16">
                  <c:v>2.15833422733607E6</c:v>
                </c:pt>
                <c:pt idx="17">
                  <c:v>2.51615115468946E6</c:v>
                </c:pt>
                <c:pt idx="18">
                  <c:v>2.88112442058991E6</c:v>
                </c:pt>
                <c:pt idx="19">
                  <c:v>3.25339715180837E6</c:v>
                </c:pt>
                <c:pt idx="20">
                  <c:v>3.6331153376512E6</c:v>
                </c:pt>
                <c:pt idx="21">
                  <c:v>4.02042788721089E6</c:v>
                </c:pt>
                <c:pt idx="22">
                  <c:v>4.41548668776177E6</c:v>
                </c:pt>
                <c:pt idx="23">
                  <c:v>4.81844666432367E6</c:v>
                </c:pt>
                <c:pt idx="24">
                  <c:v>5.22946584041681E6</c:v>
                </c:pt>
                <c:pt idx="25">
                  <c:v>5.64870540003181E6</c:v>
                </c:pt>
                <c:pt idx="26">
                  <c:v>6.07632975083911E6</c:v>
                </c:pt>
                <c:pt idx="27">
                  <c:v>6.51250658866256E6</c:v>
                </c:pt>
                <c:pt idx="28">
                  <c:v>6.95740696324247E6</c:v>
                </c:pt>
                <c:pt idx="29">
                  <c:v>7.41120534531399E6</c:v>
                </c:pt>
                <c:pt idx="30">
                  <c:v>7.87407969502693E6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INPUTS!$C$142</c:f>
              <c:strCache>
                <c:ptCount val="1"/>
                <c:pt idx="0">
                  <c:v>Sutherland, NE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INPUTS!$D$142:$AH$142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-2.3863091784616E6</c:v>
                </c:pt>
                <c:pt idx="2">
                  <c:v>-2.06634454049242E6</c:v>
                </c:pt>
                <c:pt idx="3">
                  <c:v>-1.73998060976387E6</c:v>
                </c:pt>
                <c:pt idx="4">
                  <c:v>-1.40708940042074E6</c:v>
                </c:pt>
                <c:pt idx="5">
                  <c:v>-1.06754036689075E6</c:v>
                </c:pt>
                <c:pt idx="6">
                  <c:v>-721200.352690162</c:v>
                </c:pt>
                <c:pt idx="7">
                  <c:v>-367933.5382055609</c:v>
                </c:pt>
                <c:pt idx="8">
                  <c:v>-7601.387431267823</c:v>
                </c:pt>
                <c:pt idx="9">
                  <c:v>359937.4063585111</c:v>
                </c:pt>
                <c:pt idx="10">
                  <c:v>734826.9760240856</c:v>
                </c:pt>
                <c:pt idx="11">
                  <c:v>1.11721433708297E6</c:v>
                </c:pt>
                <c:pt idx="12">
                  <c:v>1.50724944536304E6</c:v>
                </c:pt>
                <c:pt idx="13">
                  <c:v>1.9050852558087E6</c:v>
                </c:pt>
                <c:pt idx="14">
                  <c:v>2.31087778246328E6</c:v>
                </c:pt>
                <c:pt idx="15">
                  <c:v>2.72478615965095E6</c:v>
                </c:pt>
                <c:pt idx="16">
                  <c:v>3.14697270438237E6</c:v>
                </c:pt>
                <c:pt idx="17">
                  <c:v>3.57760298000842E6</c:v>
                </c:pt>
                <c:pt idx="18">
                  <c:v>4.016845861147E6</c:v>
                </c:pt>
                <c:pt idx="19">
                  <c:v>4.46487359990834E6</c:v>
                </c:pt>
                <c:pt idx="20">
                  <c:v>4.92186189344491E6</c:v>
                </c:pt>
                <c:pt idx="21">
                  <c:v>5.38798995285221E6</c:v>
                </c:pt>
                <c:pt idx="22">
                  <c:v>5.86344057344766E6</c:v>
                </c:pt>
                <c:pt idx="23">
                  <c:v>6.34840020645502E6</c:v>
                </c:pt>
                <c:pt idx="24">
                  <c:v>6.84305903212252E6</c:v>
                </c:pt>
                <c:pt idx="25">
                  <c:v>7.34761103430338E6</c:v>
                </c:pt>
                <c:pt idx="26">
                  <c:v>7.86225407652785E6</c:v>
                </c:pt>
                <c:pt idx="27">
                  <c:v>8.38718997959681E6</c:v>
                </c:pt>
                <c:pt idx="28">
                  <c:v>8.92262460072715E6</c:v>
                </c:pt>
                <c:pt idx="29">
                  <c:v>9.4687679142801E6</c:v>
                </c:pt>
                <c:pt idx="30">
                  <c:v>1.00258340941041E7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INPUTS!$C$143</c:f>
              <c:strCache>
                <c:ptCount val="1"/>
                <c:pt idx="0">
                  <c:v>Torrington, WY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INPUTS!$D$143:$AH$143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-2.35431019702535E6</c:v>
                </c:pt>
                <c:pt idx="2">
                  <c:v>-2.0017065979912E6</c:v>
                </c:pt>
                <c:pt idx="3">
                  <c:v>-1.64205092697638E6</c:v>
                </c:pt>
                <c:pt idx="4">
                  <c:v>-1.27520214254125E6</c:v>
                </c:pt>
                <c:pt idx="5">
                  <c:v>-901016.382417428</c:v>
                </c:pt>
                <c:pt idx="6">
                  <c:v>-519346.9070911254</c:v>
                </c:pt>
                <c:pt idx="7">
                  <c:v>-130044.0422582967</c:v>
                </c:pt>
                <c:pt idx="8">
                  <c:v>267044.8798711885</c:v>
                </c:pt>
                <c:pt idx="9">
                  <c:v>672075.5804432635</c:v>
                </c:pt>
                <c:pt idx="10">
                  <c:v>1.08520689502678E6</c:v>
                </c:pt>
                <c:pt idx="11">
                  <c:v>1.50660083590197E6</c:v>
                </c:pt>
                <c:pt idx="12">
                  <c:v>1.93642265559466E6</c:v>
                </c:pt>
                <c:pt idx="13">
                  <c:v>2.3748409116812E6</c:v>
                </c:pt>
                <c:pt idx="14">
                  <c:v>2.82202753288948E6</c:v>
                </c:pt>
                <c:pt idx="15">
                  <c:v>3.27815788652192E6</c:v>
                </c:pt>
                <c:pt idx="16">
                  <c:v>3.74341084722701E6</c:v>
                </c:pt>
                <c:pt idx="17">
                  <c:v>4.2179688671462E6</c:v>
                </c:pt>
                <c:pt idx="18">
                  <c:v>4.70201804746377E6</c:v>
                </c:pt>
                <c:pt idx="19">
                  <c:v>5.1957482113877E6</c:v>
                </c:pt>
                <c:pt idx="20">
                  <c:v>5.69935297859011E6</c:v>
                </c:pt>
                <c:pt idx="21">
                  <c:v>6.21302984113656E6</c:v>
                </c:pt>
                <c:pt idx="22">
                  <c:v>6.73698024093394E6</c:v>
                </c:pt>
                <c:pt idx="23">
                  <c:v>7.27140964872727E6</c:v>
                </c:pt>
                <c:pt idx="24">
                  <c:v>7.81652764467647E6</c:v>
                </c:pt>
                <c:pt idx="25">
                  <c:v>8.37254800054465E6</c:v>
                </c:pt>
                <c:pt idx="26">
                  <c:v>8.93968876353019E6</c:v>
                </c:pt>
                <c:pt idx="27">
                  <c:v>9.51817234177545E6</c:v>
                </c:pt>
                <c:pt idx="28">
                  <c:v>1.01082255915856E7</c:v>
                </c:pt>
                <c:pt idx="29">
                  <c:v>1.0710079906392E7</c:v>
                </c:pt>
                <c:pt idx="30">
                  <c:v>1.13239713074945E7</c:v>
                </c:pt>
              </c:numCache>
            </c:numRef>
          </c:yVal>
          <c:smooth val="1"/>
        </c:ser>
        <c:ser>
          <c:idx val="12"/>
          <c:order val="12"/>
          <c:tx>
            <c:strRef>
              <c:f>INPUTS!$C$144</c:f>
              <c:strCache>
                <c:ptCount val="1"/>
                <c:pt idx="0">
                  <c:v>Burley, ID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INPUTS!$D$144:$AH$144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-2.51968665102503E6</c:v>
                </c:pt>
                <c:pt idx="2">
                  <c:v>-2.33576703507057E6</c:v>
                </c:pt>
                <c:pt idx="3">
                  <c:v>-2.14816902679702E6</c:v>
                </c:pt>
                <c:pt idx="4">
                  <c:v>-1.95681905835799E6</c:v>
                </c:pt>
                <c:pt idx="5">
                  <c:v>-1.76164209055018E6</c:v>
                </c:pt>
                <c:pt idx="6">
                  <c:v>-1.56256158338622E6</c:v>
                </c:pt>
                <c:pt idx="7">
                  <c:v>-1.35949946607898E6</c:v>
                </c:pt>
                <c:pt idx="8">
                  <c:v>-1.1523761064256E6</c:v>
                </c:pt>
                <c:pt idx="9">
                  <c:v>-941110.2795791418</c:v>
                </c:pt>
                <c:pt idx="10">
                  <c:v>-725619.136195759</c:v>
                </c:pt>
                <c:pt idx="11">
                  <c:v>-505818.1699447085</c:v>
                </c:pt>
                <c:pt idx="12">
                  <c:v>-281621.184368637</c:v>
                </c:pt>
                <c:pt idx="13">
                  <c:v>-52940.25908104415</c:v>
                </c:pt>
                <c:pt idx="14">
                  <c:v>180314.2847123006</c:v>
                </c:pt>
                <c:pt idx="15">
                  <c:v>418233.9193815122</c:v>
                </c:pt>
                <c:pt idx="16">
                  <c:v>660911.946744108</c:v>
                </c:pt>
                <c:pt idx="17">
                  <c:v>908443.5346539558</c:v>
                </c:pt>
                <c:pt idx="18">
                  <c:v>1.160925754322E6</c:v>
                </c:pt>
                <c:pt idx="19">
                  <c:v>1.41845761838341E6</c:v>
                </c:pt>
                <c:pt idx="20">
                  <c:v>1.68114011972604E6</c:v>
                </c:pt>
                <c:pt idx="21">
                  <c:v>1.94907627109553E6</c:v>
                </c:pt>
                <c:pt idx="22">
                  <c:v>2.2223711454924E6</c:v>
                </c:pt>
                <c:pt idx="23">
                  <c:v>2.50113191737722E6</c:v>
                </c:pt>
                <c:pt idx="24">
                  <c:v>2.78546790469973E6</c:v>
                </c:pt>
                <c:pt idx="25">
                  <c:v>3.07549061176869E6</c:v>
                </c:pt>
                <c:pt idx="26">
                  <c:v>3.37131377297902E6</c:v>
                </c:pt>
                <c:pt idx="27">
                  <c:v>3.67305339741357E6</c:v>
                </c:pt>
                <c:pt idx="28">
                  <c:v>3.98082781433681E6</c:v>
                </c:pt>
                <c:pt idx="29">
                  <c:v>4.29475771959851E6</c:v>
                </c:pt>
                <c:pt idx="30">
                  <c:v>4.61496622296545E6</c:v>
                </c:pt>
              </c:numCache>
            </c:numRef>
          </c:yVal>
          <c:smooth val="1"/>
        </c:ser>
        <c:ser>
          <c:idx val="13"/>
          <c:order val="13"/>
          <c:tx>
            <c:strRef>
              <c:f>INPUTS!$C$145</c:f>
              <c:strCache>
                <c:ptCount val="1"/>
                <c:pt idx="0">
                  <c:v>Yuma, CO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INPUTS!$D$145:$AH$145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-2.38400379119646E6</c:v>
                </c:pt>
                <c:pt idx="2">
                  <c:v>-2.06168765821685E6</c:v>
                </c:pt>
                <c:pt idx="3">
                  <c:v>-1.73292520257764E6</c:v>
                </c:pt>
                <c:pt idx="4">
                  <c:v>-1.39758749782565E6</c:v>
                </c:pt>
                <c:pt idx="5">
                  <c:v>-1.05554303897862E6</c:v>
                </c:pt>
                <c:pt idx="6">
                  <c:v>-706657.690954652</c:v>
                </c:pt>
                <c:pt idx="7">
                  <c:v>-350794.6359702028</c:v>
                </c:pt>
                <c:pt idx="8">
                  <c:v>12185.68011393526</c:v>
                </c:pt>
                <c:pt idx="9">
                  <c:v>382425.6025197561</c:v>
                </c:pt>
                <c:pt idx="10">
                  <c:v>760070.3233736933</c:v>
                </c:pt>
                <c:pt idx="11">
                  <c:v>1.14526793864471E6</c:v>
                </c:pt>
                <c:pt idx="12">
                  <c:v>1.53816950622115E6</c:v>
                </c:pt>
                <c:pt idx="13">
                  <c:v>1.93892910514911E6</c:v>
                </c:pt>
                <c:pt idx="14">
                  <c:v>2.34770389605564E6</c:v>
                </c:pt>
                <c:pt idx="15">
                  <c:v>2.7646541827803E6</c:v>
                </c:pt>
                <c:pt idx="16">
                  <c:v>3.18994347523944E6</c:v>
                </c:pt>
                <c:pt idx="17">
                  <c:v>3.62373855354777E6</c:v>
                </c:pt>
                <c:pt idx="18">
                  <c:v>4.06620953342227E6</c:v>
                </c:pt>
                <c:pt idx="19">
                  <c:v>4.51752993289425E6</c:v>
                </c:pt>
                <c:pt idx="20">
                  <c:v>4.97787674035568E6</c:v>
                </c:pt>
                <c:pt idx="21">
                  <c:v>5.44743048396634E6</c:v>
                </c:pt>
                <c:pt idx="22">
                  <c:v>5.9263753024492E6</c:v>
                </c:pt>
                <c:pt idx="23">
                  <c:v>6.41489901730173E6</c:v>
                </c:pt>
                <c:pt idx="24">
                  <c:v>6.91319320645131E6</c:v>
                </c:pt>
                <c:pt idx="25">
                  <c:v>7.42145327938388E6</c:v>
                </c:pt>
                <c:pt idx="26">
                  <c:v>7.9398785537751E6</c:v>
                </c:pt>
                <c:pt idx="27">
                  <c:v>8.46867233365414E6</c:v>
                </c:pt>
                <c:pt idx="28">
                  <c:v>9.00804198913076E6</c:v>
                </c:pt>
                <c:pt idx="29">
                  <c:v>9.55819903771692E6</c:v>
                </c:pt>
                <c:pt idx="30">
                  <c:v>1.01193592272748E7</c:v>
                </c:pt>
              </c:numCache>
            </c:numRef>
          </c:yVal>
          <c:smooth val="1"/>
        </c:ser>
        <c:ser>
          <c:idx val="14"/>
          <c:order val="14"/>
          <c:tx>
            <c:strRef>
              <c:f>INPUTS!$C$146</c:f>
              <c:strCache>
                <c:ptCount val="1"/>
                <c:pt idx="0">
                  <c:v>Russell, KS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INPUTS!$D$146:$AH$146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-2.27246269354001E6</c:v>
                </c:pt>
                <c:pt idx="2">
                  <c:v>-1.83637464095081E6</c:v>
                </c:pt>
                <c:pt idx="3">
                  <c:v>-1.39156482730983E6</c:v>
                </c:pt>
                <c:pt idx="4">
                  <c:v>-937858.817396037</c:v>
                </c:pt>
                <c:pt idx="5">
                  <c:v>-475078.6872839638</c:v>
                </c:pt>
                <c:pt idx="6">
                  <c:v>-3042.954569649126</c:v>
                </c:pt>
                <c:pt idx="7">
                  <c:v>478433.4927989519</c:v>
                </c:pt>
                <c:pt idx="8">
                  <c:v>969539.4691149249</c:v>
                </c:pt>
                <c:pt idx="9">
                  <c:v>1.47046756495722E6</c:v>
                </c:pt>
                <c:pt idx="10">
                  <c:v>1.98141422271636E6</c:v>
                </c:pt>
                <c:pt idx="11">
                  <c:v>2.50257981363068E6</c:v>
                </c:pt>
                <c:pt idx="12">
                  <c:v>3.03416871636328E6</c:v>
                </c:pt>
                <c:pt idx="13">
                  <c:v>3.57638939715054E6</c:v>
                </c:pt>
                <c:pt idx="14">
                  <c:v>4.12945449155355E6</c:v>
                </c:pt>
                <c:pt idx="15">
                  <c:v>4.69358088784461E6</c:v>
                </c:pt>
                <c:pt idx="16">
                  <c:v>5.2689898120615E6</c:v>
                </c:pt>
                <c:pt idx="17">
                  <c:v>5.85590691476272E6</c:v>
                </c:pt>
                <c:pt idx="18">
                  <c:v>6.45456235951797E6</c:v>
                </c:pt>
                <c:pt idx="19">
                  <c:v>7.06519091316833E6</c:v>
                </c:pt>
                <c:pt idx="20">
                  <c:v>7.68803203789169E6</c:v>
                </c:pt>
                <c:pt idx="21">
                  <c:v>8.32332998510951E6</c:v>
                </c:pt>
                <c:pt idx="22">
                  <c:v>8.9713338912717E6</c:v>
                </c:pt>
                <c:pt idx="23">
                  <c:v>9.63229787555712E6</c:v>
                </c:pt>
                <c:pt idx="24">
                  <c:v>1.03064811395283E7</c:v>
                </c:pt>
                <c:pt idx="25">
                  <c:v>1.09941480687788E7</c:v>
                </c:pt>
                <c:pt idx="26">
                  <c:v>1.16955683366144E7</c:v>
                </c:pt>
                <c:pt idx="27">
                  <c:v>1.24110170098067E7</c:v>
                </c:pt>
                <c:pt idx="28">
                  <c:v>1.31407746564628E7</c:v>
                </c:pt>
                <c:pt idx="29">
                  <c:v>1.38851274560521E7</c:v>
                </c:pt>
                <c:pt idx="30">
                  <c:v>1.46443673116331E7</c:v>
                </c:pt>
              </c:numCache>
            </c:numRef>
          </c:yVal>
          <c:smooth val="1"/>
        </c:ser>
        <c:ser>
          <c:idx val="15"/>
          <c:order val="15"/>
          <c:tx>
            <c:strRef>
              <c:f>INPUTS!$C$147</c:f>
              <c:strCache>
                <c:ptCount val="1"/>
                <c:pt idx="0">
                  <c:v>Arkalon, KS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INPUTS!$D$147:$AH$147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-2.19406503298063E6</c:v>
                </c:pt>
                <c:pt idx="2">
                  <c:v>-1.67801136662088E6</c:v>
                </c:pt>
                <c:pt idx="3">
                  <c:v>-1.15163662693393E6</c:v>
                </c:pt>
                <c:pt idx="4">
                  <c:v>-614734.3924532367</c:v>
                </c:pt>
                <c:pt idx="5">
                  <c:v>-67094.11328293336</c:v>
                </c:pt>
                <c:pt idx="6">
                  <c:v>491498.971470776</c:v>
                </c:pt>
                <c:pt idx="7">
                  <c:v>1.06126391791956E6</c:v>
                </c:pt>
                <c:pt idx="8">
                  <c:v>1.64242416329732E6</c:v>
                </c:pt>
                <c:pt idx="9">
                  <c:v>2.23520761358263E6</c:v>
                </c:pt>
                <c:pt idx="10">
                  <c:v>2.83984673287365E6</c:v>
                </c:pt>
                <c:pt idx="11">
                  <c:v>3.4565786345505E6</c:v>
                </c:pt>
                <c:pt idx="12">
                  <c:v>4.08564517426087E6</c:v>
                </c:pt>
                <c:pt idx="13">
                  <c:v>4.72729304476546E6</c:v>
                </c:pt>
                <c:pt idx="14">
                  <c:v>5.38177387268014E6</c:v>
                </c:pt>
                <c:pt idx="15">
                  <c:v>6.04934431715311E6</c:v>
                </c:pt>
                <c:pt idx="16">
                  <c:v>6.73026617051554E6</c:v>
                </c:pt>
                <c:pt idx="17">
                  <c:v>7.42480646094522E6</c:v>
                </c:pt>
                <c:pt idx="18">
                  <c:v>8.13323755718349E6</c:v>
                </c:pt>
                <c:pt idx="19">
                  <c:v>8.85583727534653E6</c:v>
                </c:pt>
                <c:pt idx="20">
                  <c:v>9.59288898787283E6</c:v>
                </c:pt>
                <c:pt idx="21">
                  <c:v>1.03446817346496E7</c:v>
                </c:pt>
                <c:pt idx="22">
                  <c:v>1.1111510336362E7</c:v>
                </c:pt>
                <c:pt idx="23">
                  <c:v>1.18936755101086E7</c:v>
                </c:pt>
                <c:pt idx="24">
                  <c:v>1.26914839873302E7</c:v>
                </c:pt>
                <c:pt idx="25">
                  <c:v>1.35052486340961E7</c:v>
                </c:pt>
                <c:pt idx="26">
                  <c:v>1.43352885737974E7</c:v>
                </c:pt>
                <c:pt idx="27">
                  <c:v>1.51819293122927E7</c:v>
                </c:pt>
                <c:pt idx="28">
                  <c:v>1.6045502865558E7</c:v>
                </c:pt>
                <c:pt idx="29">
                  <c:v>1.69263478898885E7</c:v>
                </c:pt>
                <c:pt idx="30">
                  <c:v>1.78248098147056E7</c:v>
                </c:pt>
              </c:numCache>
            </c:numRef>
          </c:yVal>
          <c:smooth val="1"/>
        </c:ser>
        <c:ser>
          <c:idx val="16"/>
          <c:order val="16"/>
          <c:tx>
            <c:strRef>
              <c:f>INPUTS!$C$148</c:f>
              <c:strCache>
                <c:ptCount val="1"/>
                <c:pt idx="0">
                  <c:v>Plainview, TX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INPUTS!$D$148:$AH$148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-2.25449885510903E6</c:v>
                </c:pt>
                <c:pt idx="2">
                  <c:v>-1.80008768732025E6</c:v>
                </c:pt>
                <c:pt idx="3">
                  <c:v>-1.33658829617569E6</c:v>
                </c:pt>
                <c:pt idx="4">
                  <c:v>-863818.9172082322</c:v>
                </c:pt>
                <c:pt idx="5">
                  <c:v>-381594.1506614301</c:v>
                </c:pt>
                <c:pt idx="6">
                  <c:v>110275.1112163081</c:v>
                </c:pt>
                <c:pt idx="7">
                  <c:v>611981.758331601</c:v>
                </c:pt>
                <c:pt idx="8">
                  <c:v>1.1237225383892E6</c:v>
                </c:pt>
                <c:pt idx="9">
                  <c:v>1.64569813404795E6</c:v>
                </c:pt>
                <c:pt idx="10">
                  <c:v>2.17811324161988E6</c:v>
                </c:pt>
                <c:pt idx="11">
                  <c:v>2.72117665134324E6</c:v>
                </c:pt>
                <c:pt idx="12">
                  <c:v>3.27510132926107E6</c:v>
                </c:pt>
                <c:pt idx="13">
                  <c:v>3.84010450073726E6</c:v>
                </c:pt>
                <c:pt idx="14">
                  <c:v>4.41640773564297E6</c:v>
                </c:pt>
                <c:pt idx="15">
                  <c:v>5.0042370352468E6</c:v>
                </c:pt>
                <c:pt idx="16">
                  <c:v>5.6038229208427E6</c:v>
                </c:pt>
                <c:pt idx="17">
                  <c:v>6.21540052415052E6</c:v>
                </c:pt>
                <c:pt idx="18">
                  <c:v>6.8392096795245E6</c:v>
                </c:pt>
                <c:pt idx="19">
                  <c:v>7.47549501800596E6</c:v>
                </c:pt>
                <c:pt idx="20">
                  <c:v>8.12450606325704E6</c:v>
                </c:pt>
                <c:pt idx="21">
                  <c:v>8.78649732941315E6</c:v>
                </c:pt>
                <c:pt idx="22">
                  <c:v>9.46172842089238E6</c:v>
                </c:pt>
                <c:pt idx="23">
                  <c:v>1.01504641342012E7</c:v>
                </c:pt>
                <c:pt idx="24">
                  <c:v>1.08529745617762E7</c:v>
                </c:pt>
                <c:pt idx="25">
                  <c:v>1.15695351979027E7</c:v>
                </c:pt>
                <c:pt idx="26">
                  <c:v>1.23004270467517E7</c:v>
                </c:pt>
                <c:pt idx="27">
                  <c:v>1.30459367325777E7</c:v>
                </c:pt>
                <c:pt idx="28">
                  <c:v>1.38063566121202E7</c:v>
                </c:pt>
                <c:pt idx="29">
                  <c:v>1.45819848892536E7</c:v>
                </c:pt>
                <c:pt idx="30">
                  <c:v>1.53731257319296E7</c:v>
                </c:pt>
              </c:numCache>
            </c:numRef>
          </c:yVal>
          <c:smooth val="1"/>
        </c:ser>
        <c:ser>
          <c:idx val="17"/>
          <c:order val="17"/>
          <c:tx>
            <c:strRef>
              <c:f>INPUTS!$C$149</c:f>
              <c:strCache>
                <c:ptCount val="1"/>
                <c:pt idx="0">
                  <c:v>Imperial Valley, CA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INPUTS!$D$149:$AH$149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-2.53547757353498E6</c:v>
                </c:pt>
                <c:pt idx="2">
                  <c:v>-2.36766469854066E6</c:v>
                </c:pt>
                <c:pt idx="3">
                  <c:v>-2.19649556604645E6</c:v>
                </c:pt>
                <c:pt idx="4">
                  <c:v>-2.02190305090236E6</c:v>
                </c:pt>
                <c:pt idx="5">
                  <c:v>-1.84381868545539E6</c:v>
                </c:pt>
                <c:pt idx="6">
                  <c:v>-1.66217263269948E6</c:v>
                </c:pt>
                <c:pt idx="7">
                  <c:v>-1.47689365888845E6</c:v>
                </c:pt>
                <c:pt idx="8">
                  <c:v>-1.28790910560119E6</c:v>
                </c:pt>
                <c:pt idx="9">
                  <c:v>-1.0951448612482E6</c:v>
                </c:pt>
                <c:pt idx="10">
                  <c:v>-898525.3320081417</c:v>
                </c:pt>
                <c:pt idx="11">
                  <c:v>-697973.4121832844</c:v>
                </c:pt>
                <c:pt idx="12">
                  <c:v>-493410.4539619298</c:v>
                </c:pt>
                <c:pt idx="13">
                  <c:v>-284756.2365761483</c:v>
                </c:pt>
                <c:pt idx="14">
                  <c:v>-71928.93484265113</c:v>
                </c:pt>
                <c:pt idx="15">
                  <c:v>145154.912925516</c:v>
                </c:pt>
                <c:pt idx="16">
                  <c:v>366580.4376490464</c:v>
                </c:pt>
                <c:pt idx="17">
                  <c:v>592434.4728670474</c:v>
                </c:pt>
                <c:pt idx="18">
                  <c:v>822805.5887894086</c:v>
                </c:pt>
                <c:pt idx="19">
                  <c:v>1.05778412703022E6</c:v>
                </c:pt>
                <c:pt idx="20">
                  <c:v>1.29746223603584E6</c:v>
                </c:pt>
                <c:pt idx="21">
                  <c:v>1.54193390722158E6</c:v>
                </c:pt>
                <c:pt idx="22">
                  <c:v>1.79129501183103E6</c:v>
                </c:pt>
                <c:pt idx="23">
                  <c:v>2.04564333853267E6</c:v>
                </c:pt>
                <c:pt idx="24">
                  <c:v>2.30507863176834E6</c:v>
                </c:pt>
                <c:pt idx="25">
                  <c:v>2.56970263086873E6</c:v>
                </c:pt>
                <c:pt idx="26">
                  <c:v>2.83961910995113E6</c:v>
                </c:pt>
                <c:pt idx="27">
                  <c:v>3.11493391861517E6</c:v>
                </c:pt>
                <c:pt idx="28">
                  <c:v>3.39575502345249E6</c:v>
                </c:pt>
                <c:pt idx="29">
                  <c:v>3.68219255038656E6</c:v>
                </c:pt>
                <c:pt idx="30">
                  <c:v>3.97435882785931E6</c:v>
                </c:pt>
              </c:numCache>
            </c:numRef>
          </c:yVal>
          <c:smooth val="1"/>
        </c:ser>
        <c:ser>
          <c:idx val="18"/>
          <c:order val="18"/>
          <c:tx>
            <c:strRef>
              <c:f>INPUTS!$C$150</c:f>
              <c:strCache>
                <c:ptCount val="1"/>
                <c:pt idx="0">
                  <c:v>Stockton, CA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INPUTS!$D$150:$AH$150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-2.54244473519167E6</c:v>
                </c:pt>
                <c:pt idx="2">
                  <c:v>-2.38173836508717E6</c:v>
                </c:pt>
                <c:pt idx="3">
                  <c:v>-2.21781786758058E6</c:v>
                </c:pt>
                <c:pt idx="4">
                  <c:v>-2.05061896012386E6</c:v>
                </c:pt>
                <c:pt idx="5">
                  <c:v>-1.880076074518E6</c:v>
                </c:pt>
                <c:pt idx="6">
                  <c:v>-1.70612233120003E6</c:v>
                </c:pt>
                <c:pt idx="7">
                  <c:v>-1.52868951301569E6</c:v>
                </c:pt>
                <c:pt idx="8">
                  <c:v>-1.34770803846768E6</c:v>
                </c:pt>
                <c:pt idx="9">
                  <c:v>-1.1631069344287E6</c:v>
                </c:pt>
                <c:pt idx="10">
                  <c:v>-974813.8083089368</c:v>
                </c:pt>
                <c:pt idx="11">
                  <c:v>-782754.8196667825</c:v>
                </c:pt>
                <c:pt idx="12">
                  <c:v>-586854.651251785</c:v>
                </c:pt>
                <c:pt idx="13">
                  <c:v>-387036.4794684877</c:v>
                </c:pt>
                <c:pt idx="14">
                  <c:v>-183221.9442495244</c:v>
                </c:pt>
                <c:pt idx="15">
                  <c:v>24668.88167381816</c:v>
                </c:pt>
                <c:pt idx="16">
                  <c:v>236717.5241156276</c:v>
                </c:pt>
                <c:pt idx="17">
                  <c:v>453007.1394062731</c:v>
                </c:pt>
                <c:pt idx="18">
                  <c:v>673622.5470027315</c:v>
                </c:pt>
                <c:pt idx="19">
                  <c:v>898650.2627511192</c:v>
                </c:pt>
                <c:pt idx="20">
                  <c:v>1.12817853281447E6</c:v>
                </c:pt>
                <c:pt idx="21">
                  <c:v>1.3622973682791E6</c:v>
                </c:pt>
                <c:pt idx="22">
                  <c:v>1.60109858045301E6</c:v>
                </c:pt>
                <c:pt idx="23">
                  <c:v>1.84467581687041E6</c:v>
                </c:pt>
                <c:pt idx="24">
                  <c:v>2.09312459801615E6</c:v>
                </c:pt>
                <c:pt idx="25">
                  <c:v>2.3465423547848E6</c:v>
                </c:pt>
                <c:pt idx="26">
                  <c:v>2.60502846668883E6</c:v>
                </c:pt>
                <c:pt idx="27">
                  <c:v>2.86868430083094E6</c:v>
                </c:pt>
                <c:pt idx="28">
                  <c:v>3.13761325165589E6</c:v>
                </c:pt>
                <c:pt idx="29">
                  <c:v>3.41192078149734E6</c:v>
                </c:pt>
                <c:pt idx="30">
                  <c:v>3.69171446193562E6</c:v>
                </c:pt>
              </c:numCache>
            </c:numRef>
          </c:yVal>
          <c:smooth val="1"/>
        </c:ser>
        <c:ser>
          <c:idx val="19"/>
          <c:order val="19"/>
          <c:tx>
            <c:strRef>
              <c:f>INPUTS!$C$151</c:f>
              <c:strCache>
                <c:ptCount val="1"/>
                <c:pt idx="0">
                  <c:v>Maricopa, AZ</c:v>
                </c:pt>
              </c:strCache>
            </c:strRef>
          </c:tx>
          <c:xVal>
            <c:numRef>
              <c:f>INPUTS!$D$131:$AH$131</c:f>
              <c:numCache>
                <c:formatCode>General</c:formatCode>
                <c:ptCount val="3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</c:numCache>
            </c:numRef>
          </c:xVal>
          <c:yVal>
            <c:numRef>
              <c:f>INPUTS!$D$151:$AH$151</c:f>
              <c:numCache>
                <c:formatCode>_("$"* #,##0_);_("$"* \(#,##0\);_("$"* "-"??_);_(@_)</c:formatCode>
                <c:ptCount val="31"/>
                <c:pt idx="0">
                  <c:v>-2.7E6</c:v>
                </c:pt>
                <c:pt idx="1">
                  <c:v>-2.49108563820939E6</c:v>
                </c:pt>
                <c:pt idx="2">
                  <c:v>-2.27799298918296E6</c:v>
                </c:pt>
                <c:pt idx="3">
                  <c:v>-2.06063848717601E6</c:v>
                </c:pt>
                <c:pt idx="4">
                  <c:v>-1.83893689512892E6</c:v>
                </c:pt>
                <c:pt idx="5">
                  <c:v>-1.61280127124088E6</c:v>
                </c:pt>
                <c:pt idx="6">
                  <c:v>-1.38214293487509E6</c:v>
                </c:pt>
                <c:pt idx="7">
                  <c:v>-1.14687143178197E6</c:v>
                </c:pt>
                <c:pt idx="8">
                  <c:v>-906894.498627001</c:v>
                </c:pt>
                <c:pt idx="9">
                  <c:v>-662118.0268089282</c:v>
                </c:pt>
                <c:pt idx="10">
                  <c:v>-412446.0255544939</c:v>
                </c:pt>
                <c:pt idx="11">
                  <c:v>-157780.5842749708</c:v>
                </c:pt>
                <c:pt idx="12">
                  <c:v>101978.1658301427</c:v>
                </c:pt>
                <c:pt idx="13">
                  <c:v>366932.0909373584</c:v>
                </c:pt>
                <c:pt idx="14">
                  <c:v>637185.0945467185</c:v>
                </c:pt>
                <c:pt idx="15">
                  <c:v>912843.1582282658</c:v>
                </c:pt>
                <c:pt idx="16">
                  <c:v>1.19401438318344E6</c:v>
                </c:pt>
                <c:pt idx="17">
                  <c:v>1.48080903263773E6</c:v>
                </c:pt>
                <c:pt idx="18">
                  <c:v>1.77333957508109E6</c:v>
                </c:pt>
                <c:pt idx="19">
                  <c:v>2.07172072837333E6</c:v>
                </c:pt>
                <c:pt idx="20">
                  <c:v>2.37606950473141E6</c:v>
                </c:pt>
                <c:pt idx="21">
                  <c:v>2.68650525661665E6</c:v>
                </c:pt>
                <c:pt idx="22">
                  <c:v>3.00314972353959E6</c:v>
                </c:pt>
                <c:pt idx="23">
                  <c:v>3.326127079801E6</c:v>
                </c:pt>
                <c:pt idx="24">
                  <c:v>3.65556398318763E6</c:v>
                </c:pt>
                <c:pt idx="25">
                  <c:v>3.991589624642E6</c:v>
                </c:pt>
                <c:pt idx="26">
                  <c:v>4.33433577892545E6</c:v>
                </c:pt>
                <c:pt idx="27">
                  <c:v>4.68393685629457E6</c:v>
                </c:pt>
                <c:pt idx="28">
                  <c:v>5.04052995521108E6</c:v>
                </c:pt>
                <c:pt idx="29">
                  <c:v>5.40425491610591E6</c:v>
                </c:pt>
                <c:pt idx="30">
                  <c:v>5.77525437621864E6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3565512"/>
        <c:axId val="2083560072"/>
      </c:scatterChart>
      <c:valAx>
        <c:axId val="2083565512"/>
        <c:scaling>
          <c:orientation val="minMax"/>
          <c:max val="3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Years After Installation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083560072"/>
        <c:crosses val="autoZero"/>
        <c:crossBetween val="midCat"/>
        <c:majorUnit val="2.0"/>
      </c:valAx>
      <c:valAx>
        <c:axId val="2083560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</a:t>
                </a:r>
                <a:r>
                  <a:rPr lang="en-US" baseline="0"/>
                  <a:t> Cost Savings</a:t>
                </a:r>
                <a:endParaRPr lang="en-US"/>
              </a:p>
            </c:rich>
          </c:tx>
          <c:layout/>
          <c:overlay val="0"/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208356551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'Logansport, IN'!$C$17:$N$17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'Logansport, IN'!$C$18:$N$18</c:f>
              <c:numCache>
                <c:formatCode>_(* #,##0_);_(* \(#,##0\);_(* "-"??_);_(@_)</c:formatCode>
                <c:ptCount val="12"/>
                <c:pt idx="0">
                  <c:v>313820.31855159</c:v>
                </c:pt>
                <c:pt idx="1">
                  <c:v>482470.6092912002</c:v>
                </c:pt>
                <c:pt idx="2">
                  <c:v>757891.5589448998</c:v>
                </c:pt>
                <c:pt idx="3">
                  <c:v>1.097701349472E6</c:v>
                </c:pt>
                <c:pt idx="4">
                  <c:v>1.36724840838E6</c:v>
                </c:pt>
                <c:pt idx="5">
                  <c:v>1.64264940144E6</c:v>
                </c:pt>
                <c:pt idx="6">
                  <c:v>1.76571506259E6</c:v>
                </c:pt>
                <c:pt idx="7">
                  <c:v>1.594820098539E6</c:v>
                </c:pt>
                <c:pt idx="8">
                  <c:v>1.413259443855E6</c:v>
                </c:pt>
                <c:pt idx="9">
                  <c:v>985855.7287800001</c:v>
                </c:pt>
                <c:pt idx="10">
                  <c:v>443898.50498784</c:v>
                </c:pt>
                <c:pt idx="11">
                  <c:v>238161.7674758701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204696"/>
        <c:axId val="2083207704"/>
      </c:lineChart>
      <c:catAx>
        <c:axId val="208320469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207704"/>
        <c:crosses val="autoZero"/>
        <c:auto val="1"/>
        <c:lblAlgn val="ctr"/>
        <c:lblOffset val="100"/>
        <c:noMultiLvlLbl val="0"/>
      </c:catAx>
      <c:valAx>
        <c:axId val="2083207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204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'Logansport, IN'!$C$17:$N$17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'Logansport, IN'!$C$20:$N$20</c:f>
              <c:numCache>
                <c:formatCode>_(* #,##0_);_(* \(#,##0\);_(* "-"??_);_(@_)</c:formatCode>
                <c:ptCount val="12"/>
                <c:pt idx="0">
                  <c:v>503779.2501171511</c:v>
                </c:pt>
                <c:pt idx="1">
                  <c:v>444463.2845022036</c:v>
                </c:pt>
                <c:pt idx="2">
                  <c:v>468735.4693065335</c:v>
                </c:pt>
                <c:pt idx="3">
                  <c:v>523981.9403990415</c:v>
                </c:pt>
                <c:pt idx="4">
                  <c:v>352596.3817668344</c:v>
                </c:pt>
                <c:pt idx="5">
                  <c:v>262556.1308280512</c:v>
                </c:pt>
                <c:pt idx="6">
                  <c:v>187250.1462402803</c:v>
                </c:pt>
                <c:pt idx="7">
                  <c:v>166428.0480806735</c:v>
                </c:pt>
                <c:pt idx="8">
                  <c:v>213093.1345978244</c:v>
                </c:pt>
                <c:pt idx="9">
                  <c:v>300396.3800639761</c:v>
                </c:pt>
                <c:pt idx="10">
                  <c:v>400169.5096532488</c:v>
                </c:pt>
                <c:pt idx="11">
                  <c:v>431747.8146598548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238408"/>
        <c:axId val="2083241416"/>
      </c:lineChart>
      <c:catAx>
        <c:axId val="208323840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241416"/>
        <c:crosses val="autoZero"/>
        <c:auto val="1"/>
        <c:lblAlgn val="ctr"/>
        <c:lblOffset val="100"/>
        <c:noMultiLvlLbl val="0"/>
      </c:catAx>
      <c:valAx>
        <c:axId val="2083241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238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'Gibson City, IL'!$C$17:$N$17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'Gibson City, IL'!$C$18:$N$18</c:f>
              <c:numCache>
                <c:formatCode>_(* #,##0_);_(* \(#,##0\);_(* "-"??_);_(@_)</c:formatCode>
                <c:ptCount val="12"/>
                <c:pt idx="0">
                  <c:v>323918.7984436498</c:v>
                </c:pt>
                <c:pt idx="1">
                  <c:v>483124.7420847001</c:v>
                </c:pt>
                <c:pt idx="2">
                  <c:v>794177.0810901001</c:v>
                </c:pt>
                <c:pt idx="3">
                  <c:v>1.138501496592E6</c:v>
                </c:pt>
                <c:pt idx="4">
                  <c:v>1.42711818948E6</c:v>
                </c:pt>
                <c:pt idx="5">
                  <c:v>1.68123214926E6</c:v>
                </c:pt>
                <c:pt idx="6">
                  <c:v>1.820174389398E6</c:v>
                </c:pt>
                <c:pt idx="7">
                  <c:v>1.633314150387E6</c:v>
                </c:pt>
                <c:pt idx="8">
                  <c:v>1.434324737205E6</c:v>
                </c:pt>
                <c:pt idx="9">
                  <c:v>1.029893278878E6</c:v>
                </c:pt>
                <c:pt idx="10">
                  <c:v>476156.78652438</c:v>
                </c:pt>
                <c:pt idx="11">
                  <c:v>255543.07362885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283608"/>
        <c:axId val="2083286616"/>
      </c:lineChart>
      <c:catAx>
        <c:axId val="2083283608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286616"/>
        <c:crosses val="autoZero"/>
        <c:auto val="1"/>
        <c:lblAlgn val="ctr"/>
        <c:lblOffset val="100"/>
        <c:noMultiLvlLbl val="0"/>
      </c:catAx>
      <c:valAx>
        <c:axId val="2083286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283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Electricity</a:t>
            </a:r>
            <a:r>
              <a:rPr lang="en-US" baseline="0"/>
              <a:t> Generationg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'Gibson City, IL'!$C$17:$M$17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'Gibson City, IL'!$C$20:$N$20</c:f>
              <c:numCache>
                <c:formatCode>_(* #,##0_);_(* \(#,##0\);_(* "-"??_);_(@_)</c:formatCode>
                <c:ptCount val="12"/>
                <c:pt idx="0">
                  <c:v>466837.75716468</c:v>
                </c:pt>
                <c:pt idx="1">
                  <c:v>428159.9011128783</c:v>
                </c:pt>
                <c:pt idx="2">
                  <c:v>476377.7461678421</c:v>
                </c:pt>
                <c:pt idx="3">
                  <c:v>546820.8073165422</c:v>
                </c:pt>
                <c:pt idx="4">
                  <c:v>358920.8311533488</c:v>
                </c:pt>
                <c:pt idx="5">
                  <c:v>263849.5084637076</c:v>
                </c:pt>
                <c:pt idx="6">
                  <c:v>186221.301590024</c:v>
                </c:pt>
                <c:pt idx="7">
                  <c:v>166428.0480806735</c:v>
                </c:pt>
                <c:pt idx="8">
                  <c:v>216481.4783715792</c:v>
                </c:pt>
                <c:pt idx="9">
                  <c:v>310392.9172106578</c:v>
                </c:pt>
                <c:pt idx="10">
                  <c:v>398461.8184639669</c:v>
                </c:pt>
                <c:pt idx="11">
                  <c:v>412260.1569565291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317512"/>
        <c:axId val="2083320520"/>
      </c:lineChart>
      <c:catAx>
        <c:axId val="2083317512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320520"/>
        <c:crosses val="autoZero"/>
        <c:auto val="1"/>
        <c:lblAlgn val="ctr"/>
        <c:lblOffset val="100"/>
        <c:noMultiLvlLbl val="0"/>
      </c:catAx>
      <c:valAx>
        <c:axId val="2083320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Wind Energy (kWh)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317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Useful Solar Energy Provided</a:t>
            </a:r>
            <a:r>
              <a:rPr lang="en-US" baseline="0"/>
              <a:t> per Month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cat>
            <c:strRef>
              <c:f>'Cambria, WI'!$C$17:$N$17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'Cambria, WI'!$C$18:$N$18</c:f>
              <c:numCache>
                <c:formatCode>_(* #,##0_);_(* \(#,##0\);_(* "-"??_);_(@_)</c:formatCode>
                <c:ptCount val="12"/>
                <c:pt idx="0">
                  <c:v>363809.59011072</c:v>
                </c:pt>
                <c:pt idx="1">
                  <c:v>598841.9419545</c:v>
                </c:pt>
                <c:pt idx="2">
                  <c:v>789101.4540924</c:v>
                </c:pt>
                <c:pt idx="3">
                  <c:v>1.0245005637804E6</c:v>
                </c:pt>
                <c:pt idx="4">
                  <c:v>1.32068302308E6</c:v>
                </c:pt>
                <c:pt idx="5">
                  <c:v>1.593445310973E6</c:v>
                </c:pt>
                <c:pt idx="6">
                  <c:v>1.68056692947E6</c:v>
                </c:pt>
                <c:pt idx="7">
                  <c:v>1.512576758502E6</c:v>
                </c:pt>
                <c:pt idx="8">
                  <c:v>1.24130012814E6</c:v>
                </c:pt>
                <c:pt idx="9">
                  <c:v>806689.8653400002</c:v>
                </c:pt>
                <c:pt idx="10">
                  <c:v>399397.9619160001</c:v>
                </c:pt>
                <c:pt idx="11">
                  <c:v>276256.2439700098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372216"/>
        <c:axId val="2083375224"/>
      </c:lineChart>
      <c:catAx>
        <c:axId val="2083372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3375224"/>
        <c:crosses val="autoZero"/>
        <c:auto val="1"/>
        <c:lblAlgn val="ctr"/>
        <c:lblOffset val="100"/>
        <c:noMultiLvlLbl val="0"/>
      </c:catAx>
      <c:valAx>
        <c:axId val="2083375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Useful</a:t>
                </a:r>
                <a:r>
                  <a:rPr lang="en-US" baseline="0"/>
                  <a:t> Solar Energy Q</a:t>
                </a:r>
                <a:r>
                  <a:rPr lang="en-US" baseline="-25000"/>
                  <a:t>u</a:t>
                </a:r>
                <a:r>
                  <a:rPr lang="en-US" baseline="0"/>
                  <a:t> (MJ)</a:t>
                </a:r>
                <a:endParaRPr lang="en-US"/>
              </a:p>
            </c:rich>
          </c:tx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083372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Relationship Id="rId2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Relationship Id="rId2" Type="http://schemas.openxmlformats.org/officeDocument/2006/relationships/chart" Target="../charts/chart2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Relationship Id="rId2" Type="http://schemas.openxmlformats.org/officeDocument/2006/relationships/chart" Target="../charts/chart2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Relationship Id="rId2" Type="http://schemas.openxmlformats.org/officeDocument/2006/relationships/chart" Target="../charts/chart2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Relationship Id="rId2" Type="http://schemas.openxmlformats.org/officeDocument/2006/relationships/chart" Target="../charts/chart2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Relationship Id="rId2" Type="http://schemas.openxmlformats.org/officeDocument/2006/relationships/chart" Target="../charts/chart3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Relationship Id="rId2" Type="http://schemas.openxmlformats.org/officeDocument/2006/relationships/chart" Target="../charts/chart3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Relationship Id="rId2" Type="http://schemas.openxmlformats.org/officeDocument/2006/relationships/chart" Target="../charts/chart3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Relationship Id="rId2" Type="http://schemas.openxmlformats.org/officeDocument/2006/relationships/chart" Target="../charts/chart3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Relationship Id="rId2" Type="http://schemas.openxmlformats.org/officeDocument/2006/relationships/chart" Target="../charts/chart3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Relationship Id="rId2" Type="http://schemas.openxmlformats.org/officeDocument/2006/relationships/chart" Target="../charts/chart4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228600</xdr:colOff>
      <xdr:row>48</xdr:row>
      <xdr:rowOff>82550</xdr:rowOff>
    </xdr:from>
    <xdr:to>
      <xdr:col>24</xdr:col>
      <xdr:colOff>50800</xdr:colOff>
      <xdr:row>81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469900</xdr:colOff>
      <xdr:row>48</xdr:row>
      <xdr:rowOff>31750</xdr:rowOff>
    </xdr:from>
    <xdr:to>
      <xdr:col>32</xdr:col>
      <xdr:colOff>431800</xdr:colOff>
      <xdr:row>80</xdr:row>
      <xdr:rowOff>114300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3187700</xdr:colOff>
      <xdr:row>22</xdr:row>
      <xdr:rowOff>63500</xdr:rowOff>
    </xdr:from>
    <xdr:to>
      <xdr:col>8</xdr:col>
      <xdr:colOff>622300</xdr:colOff>
      <xdr:row>36</xdr:row>
      <xdr:rowOff>139700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16</xdr:col>
      <xdr:colOff>469900</xdr:colOff>
      <xdr:row>36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3162300</xdr:colOff>
      <xdr:row>22</xdr:row>
      <xdr:rowOff>114300</xdr:rowOff>
    </xdr:from>
    <xdr:to>
      <xdr:col>8</xdr:col>
      <xdr:colOff>622300</xdr:colOff>
      <xdr:row>37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16</xdr:col>
      <xdr:colOff>469900</xdr:colOff>
      <xdr:row>36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2844800</xdr:colOff>
      <xdr:row>22</xdr:row>
      <xdr:rowOff>25400</xdr:rowOff>
    </xdr:from>
    <xdr:to>
      <xdr:col>8</xdr:col>
      <xdr:colOff>508000</xdr:colOff>
      <xdr:row>36</xdr:row>
      <xdr:rowOff>101600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16</xdr:col>
      <xdr:colOff>469900</xdr:colOff>
      <xdr:row>36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0</xdr:rowOff>
    </xdr:from>
    <xdr:to>
      <xdr:col>8</xdr:col>
      <xdr:colOff>673100</xdr:colOff>
      <xdr:row>36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16</xdr:col>
      <xdr:colOff>469900</xdr:colOff>
      <xdr:row>36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8</xdr:col>
      <xdr:colOff>673100</xdr:colOff>
      <xdr:row>35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165100</xdr:colOff>
      <xdr:row>21</xdr:row>
      <xdr:rowOff>76200</xdr:rowOff>
    </xdr:from>
    <xdr:to>
      <xdr:col>16</xdr:col>
      <xdr:colOff>635000</xdr:colOff>
      <xdr:row>36</xdr:row>
      <xdr:rowOff>50800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8</xdr:col>
      <xdr:colOff>673100</xdr:colOff>
      <xdr:row>35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21</xdr:row>
      <xdr:rowOff>0</xdr:rowOff>
    </xdr:from>
    <xdr:to>
      <xdr:col>16</xdr:col>
      <xdr:colOff>114300</xdr:colOff>
      <xdr:row>35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8</xdr:col>
      <xdr:colOff>673100</xdr:colOff>
      <xdr:row>35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21</xdr:row>
      <xdr:rowOff>0</xdr:rowOff>
    </xdr:from>
    <xdr:to>
      <xdr:col>16</xdr:col>
      <xdr:colOff>266700</xdr:colOff>
      <xdr:row>35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8</xdr:col>
      <xdr:colOff>673100</xdr:colOff>
      <xdr:row>35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21</xdr:row>
      <xdr:rowOff>0</xdr:rowOff>
    </xdr:from>
    <xdr:to>
      <xdr:col>16</xdr:col>
      <xdr:colOff>127000</xdr:colOff>
      <xdr:row>35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0</xdr:rowOff>
    </xdr:from>
    <xdr:to>
      <xdr:col>8</xdr:col>
      <xdr:colOff>673100</xdr:colOff>
      <xdr:row>36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16</xdr:col>
      <xdr:colOff>88900</xdr:colOff>
      <xdr:row>36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8</xdr:col>
      <xdr:colOff>673100</xdr:colOff>
      <xdr:row>35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21</xdr:row>
      <xdr:rowOff>0</xdr:rowOff>
    </xdr:from>
    <xdr:to>
      <xdr:col>16</xdr:col>
      <xdr:colOff>76200</xdr:colOff>
      <xdr:row>35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8</xdr:col>
      <xdr:colOff>673100</xdr:colOff>
      <xdr:row>35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15</xdr:col>
      <xdr:colOff>419100</xdr:colOff>
      <xdr:row>36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21</xdr:row>
      <xdr:rowOff>0</xdr:rowOff>
    </xdr:from>
    <xdr:to>
      <xdr:col>8</xdr:col>
      <xdr:colOff>673100</xdr:colOff>
      <xdr:row>35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21</xdr:row>
      <xdr:rowOff>0</xdr:rowOff>
    </xdr:from>
    <xdr:to>
      <xdr:col>16</xdr:col>
      <xdr:colOff>76200</xdr:colOff>
      <xdr:row>35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20</xdr:col>
      <xdr:colOff>330200</xdr:colOff>
      <xdr:row>35</xdr:row>
      <xdr:rowOff>101600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18</xdr:col>
      <xdr:colOff>228600</xdr:colOff>
      <xdr:row>32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88900</xdr:rowOff>
    </xdr:from>
    <xdr:to>
      <xdr:col>8</xdr:col>
      <xdr:colOff>673100</xdr:colOff>
      <xdr:row>36</xdr:row>
      <xdr:rowOff>165100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254000</xdr:colOff>
      <xdr:row>22</xdr:row>
      <xdr:rowOff>139700</xdr:rowOff>
    </xdr:from>
    <xdr:to>
      <xdr:col>16</xdr:col>
      <xdr:colOff>25400</xdr:colOff>
      <xdr:row>37</xdr:row>
      <xdr:rowOff>25400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21</xdr:row>
      <xdr:rowOff>152400</xdr:rowOff>
    </xdr:from>
    <xdr:to>
      <xdr:col>8</xdr:col>
      <xdr:colOff>685800</xdr:colOff>
      <xdr:row>36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22</xdr:row>
      <xdr:rowOff>0</xdr:rowOff>
    </xdr:from>
    <xdr:to>
      <xdr:col>16</xdr:col>
      <xdr:colOff>254000</xdr:colOff>
      <xdr:row>36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3149600</xdr:colOff>
      <xdr:row>22</xdr:row>
      <xdr:rowOff>25400</xdr:rowOff>
    </xdr:from>
    <xdr:to>
      <xdr:col>8</xdr:col>
      <xdr:colOff>609600</xdr:colOff>
      <xdr:row>36</xdr:row>
      <xdr:rowOff>101600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15</xdr:col>
      <xdr:colOff>368300</xdr:colOff>
      <xdr:row>36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21</xdr:row>
      <xdr:rowOff>165100</xdr:rowOff>
    </xdr:from>
    <xdr:to>
      <xdr:col>8</xdr:col>
      <xdr:colOff>749300</xdr:colOff>
      <xdr:row>36</xdr:row>
      <xdr:rowOff>50800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22</xdr:row>
      <xdr:rowOff>0</xdr:rowOff>
    </xdr:from>
    <xdr:to>
      <xdr:col>16</xdr:col>
      <xdr:colOff>673100</xdr:colOff>
      <xdr:row>36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317500</xdr:colOff>
      <xdr:row>21</xdr:row>
      <xdr:rowOff>63500</xdr:rowOff>
    </xdr:from>
    <xdr:to>
      <xdr:col>5</xdr:col>
      <xdr:colOff>469900</xdr:colOff>
      <xdr:row>35</xdr:row>
      <xdr:rowOff>139700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21</xdr:row>
      <xdr:rowOff>0</xdr:rowOff>
    </xdr:from>
    <xdr:to>
      <xdr:col>13</xdr:col>
      <xdr:colOff>469900</xdr:colOff>
      <xdr:row>35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2794000</xdr:colOff>
      <xdr:row>22</xdr:row>
      <xdr:rowOff>177800</xdr:rowOff>
    </xdr:from>
    <xdr:to>
      <xdr:col>8</xdr:col>
      <xdr:colOff>647700</xdr:colOff>
      <xdr:row>37</xdr:row>
      <xdr:rowOff>63500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23</xdr:row>
      <xdr:rowOff>0</xdr:rowOff>
    </xdr:from>
    <xdr:to>
      <xdr:col>16</xdr:col>
      <xdr:colOff>469900</xdr:colOff>
      <xdr:row>37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3098800</xdr:colOff>
      <xdr:row>22</xdr:row>
      <xdr:rowOff>25400</xdr:rowOff>
    </xdr:from>
    <xdr:to>
      <xdr:col>8</xdr:col>
      <xdr:colOff>393700</xdr:colOff>
      <xdr:row>36</xdr:row>
      <xdr:rowOff>101600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22</xdr:row>
      <xdr:rowOff>0</xdr:rowOff>
    </xdr:from>
    <xdr:to>
      <xdr:col>15</xdr:col>
      <xdr:colOff>698500</xdr:colOff>
      <xdr:row>36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67"/>
  <sheetViews>
    <sheetView tabSelected="1" workbookViewId="0">
      <selection activeCell="E41" sqref="E41"/>
    </sheetView>
  </sheetViews>
  <sheetFormatPr baseColWidth="10" defaultRowHeight="15" x14ac:dyDescent="0"/>
  <cols>
    <col min="1" max="1" width="3.33203125" style="14" customWidth="1"/>
    <col min="2" max="2" width="14.6640625" style="14" customWidth="1"/>
    <col min="3" max="3" width="45.83203125" customWidth="1"/>
    <col min="4" max="4" width="14.33203125" customWidth="1"/>
    <col min="5" max="5" width="13.83203125" customWidth="1"/>
    <col min="6" max="7" width="14.83203125" customWidth="1"/>
    <col min="8" max="15" width="13.83203125" customWidth="1"/>
    <col min="16" max="16" width="15.83203125" customWidth="1"/>
    <col min="17" max="17" width="13" style="14" customWidth="1"/>
    <col min="18" max="18" width="13" customWidth="1"/>
    <col min="19" max="25" width="14.1640625" bestFit="1" customWidth="1"/>
    <col min="26" max="26" width="12.1640625" customWidth="1"/>
    <col min="27" max="27" width="13" customWidth="1"/>
    <col min="28" max="29" width="13.5" customWidth="1"/>
    <col min="30" max="30" width="12.6640625" customWidth="1"/>
    <col min="31" max="32" width="13.5" customWidth="1"/>
    <col min="33" max="33" width="14" customWidth="1"/>
    <col min="34" max="34" width="13.6640625" customWidth="1"/>
    <col min="35" max="35" width="13" customWidth="1"/>
  </cols>
  <sheetData>
    <row r="1" spans="1:17" ht="43" customHeight="1">
      <c r="A1" s="11"/>
      <c r="B1" s="11"/>
      <c r="C1" s="156" t="s">
        <v>21</v>
      </c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</row>
    <row r="2" spans="1:17" s="14" customForma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7" s="14" customFormat="1" ht="29" customHeight="1">
      <c r="A3" s="11"/>
      <c r="B3" s="11"/>
      <c r="C3" s="162" t="s">
        <v>95</v>
      </c>
      <c r="D3" s="162"/>
      <c r="E3" s="162"/>
      <c r="P3" s="11"/>
    </row>
    <row r="4" spans="1:17" s="14" customFormat="1" ht="24" customHeight="1">
      <c r="A4" s="11"/>
      <c r="B4" s="11"/>
      <c r="C4" s="8"/>
      <c r="D4" s="19" t="s">
        <v>69</v>
      </c>
      <c r="E4" s="19" t="s">
        <v>27</v>
      </c>
      <c r="P4" s="11"/>
    </row>
    <row r="5" spans="1:17" s="14" customFormat="1" ht="36" customHeight="1">
      <c r="A5" s="11"/>
      <c r="B5" s="11"/>
      <c r="C5" s="15" t="s">
        <v>120</v>
      </c>
      <c r="D5" s="8" t="s">
        <v>93</v>
      </c>
      <c r="E5" s="71">
        <v>100</v>
      </c>
      <c r="P5" s="11"/>
    </row>
    <row r="6" spans="1:17" s="14" customFormat="1" ht="36" customHeight="1">
      <c r="A6" s="11"/>
      <c r="B6" s="11"/>
      <c r="C6" s="15" t="s">
        <v>174</v>
      </c>
      <c r="D6" s="8" t="s">
        <v>94</v>
      </c>
      <c r="E6" s="71">
        <v>0.74</v>
      </c>
      <c r="F6" s="165" t="s">
        <v>97</v>
      </c>
      <c r="G6" s="166"/>
      <c r="H6" s="166"/>
      <c r="I6" s="166"/>
      <c r="J6" s="166"/>
      <c r="K6" s="166"/>
      <c r="L6" s="166"/>
      <c r="M6" s="166"/>
      <c r="P6" s="11"/>
    </row>
    <row r="7" spans="1:17" s="14" customFormat="1" ht="34" customHeight="1">
      <c r="A7" s="11"/>
      <c r="B7" s="11"/>
      <c r="C7" s="75" t="s">
        <v>146</v>
      </c>
      <c r="D7" s="135" t="s">
        <v>96</v>
      </c>
      <c r="E7" s="136">
        <v>29000</v>
      </c>
      <c r="F7" s="163" t="s">
        <v>181</v>
      </c>
      <c r="G7" s="164"/>
      <c r="H7" s="164"/>
      <c r="I7" s="164"/>
      <c r="J7" s="164"/>
      <c r="K7" s="164"/>
      <c r="L7" s="164"/>
      <c r="M7" s="164"/>
      <c r="P7" s="11"/>
    </row>
    <row r="8" spans="1:17" s="14" customFormat="1" ht="41" customHeight="1">
      <c r="A8" s="11"/>
      <c r="B8" s="11"/>
      <c r="C8" s="15" t="s">
        <v>147</v>
      </c>
      <c r="D8" s="137" t="s">
        <v>148</v>
      </c>
      <c r="E8" s="138">
        <v>1365</v>
      </c>
      <c r="F8" s="117"/>
      <c r="G8" s="117"/>
      <c r="H8" s="117"/>
      <c r="I8" s="117"/>
      <c r="J8" s="117"/>
      <c r="K8" s="117"/>
      <c r="L8" s="117"/>
      <c r="M8" s="117"/>
      <c r="P8" s="11"/>
    </row>
    <row r="9" spans="1:17" s="14" customForma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17" s="14" customFormat="1" ht="22" customHeight="1">
      <c r="A10" s="11"/>
      <c r="B10" s="11"/>
      <c r="C10" s="76" t="s">
        <v>89</v>
      </c>
      <c r="D10" s="168" t="s">
        <v>90</v>
      </c>
      <c r="E10" s="168"/>
      <c r="P10" s="11"/>
    </row>
    <row r="11" spans="1:17" ht="20">
      <c r="A11" s="11"/>
      <c r="B11" s="11"/>
      <c r="C11" s="158" t="s">
        <v>24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16"/>
    </row>
    <row r="12" spans="1:17">
      <c r="A12" s="11"/>
      <c r="B12" s="11"/>
      <c r="C12" s="8"/>
      <c r="D12" s="15" t="s">
        <v>0</v>
      </c>
      <c r="E12" s="15" t="s">
        <v>1</v>
      </c>
      <c r="F12" s="15" t="s">
        <v>2</v>
      </c>
      <c r="G12" s="15" t="s">
        <v>3</v>
      </c>
      <c r="H12" s="15" t="s">
        <v>4</v>
      </c>
      <c r="I12" s="15" t="s">
        <v>5</v>
      </c>
      <c r="J12" s="15" t="s">
        <v>6</v>
      </c>
      <c r="K12" s="15" t="s">
        <v>7</v>
      </c>
      <c r="L12" s="15" t="s">
        <v>8</v>
      </c>
      <c r="M12" s="15" t="s">
        <v>9</v>
      </c>
      <c r="N12" s="15" t="s">
        <v>10</v>
      </c>
      <c r="O12" s="15" t="s">
        <v>11</v>
      </c>
      <c r="P12" s="11"/>
      <c r="Q12"/>
    </row>
    <row r="13" spans="1:17" ht="17">
      <c r="A13" s="11"/>
      <c r="B13" s="11"/>
      <c r="C13" s="15" t="s">
        <v>123</v>
      </c>
      <c r="D13" s="5">
        <v>4.54</v>
      </c>
      <c r="E13" s="5">
        <v>5</v>
      </c>
      <c r="F13" s="5">
        <v>6.07</v>
      </c>
      <c r="G13" s="5">
        <v>6.6</v>
      </c>
      <c r="H13" s="5">
        <v>6.39</v>
      </c>
      <c r="I13" s="5">
        <v>6.33</v>
      </c>
      <c r="J13" s="5">
        <v>6.39</v>
      </c>
      <c r="K13" s="5">
        <v>6.09</v>
      </c>
      <c r="L13" s="5">
        <v>6.03</v>
      </c>
      <c r="M13" s="5">
        <v>5.74</v>
      </c>
      <c r="N13" s="5">
        <v>4.93</v>
      </c>
      <c r="O13" s="5">
        <v>4.42</v>
      </c>
      <c r="P13" s="11"/>
      <c r="Q13"/>
    </row>
    <row r="14" spans="1:17" ht="32">
      <c r="A14" s="11"/>
      <c r="B14" s="11"/>
      <c r="C14" s="15" t="s">
        <v>122</v>
      </c>
      <c r="D14" s="6">
        <v>2.4</v>
      </c>
      <c r="E14" s="6">
        <v>4.96</v>
      </c>
      <c r="F14" s="6">
        <v>9.25</v>
      </c>
      <c r="G14" s="6">
        <v>14.4</v>
      </c>
      <c r="H14" s="6">
        <v>18.600000000000001</v>
      </c>
      <c r="I14" s="6">
        <v>21.4</v>
      </c>
      <c r="J14" s="6">
        <v>23.6</v>
      </c>
      <c r="K14" s="6">
        <v>23</v>
      </c>
      <c r="L14" s="6">
        <v>19.2</v>
      </c>
      <c r="M14" s="6">
        <v>14.1</v>
      </c>
      <c r="N14" s="6">
        <v>7.08</v>
      </c>
      <c r="O14" s="6">
        <v>1.89</v>
      </c>
      <c r="P14" s="11"/>
      <c r="Q14"/>
    </row>
    <row r="15" spans="1:17" ht="17">
      <c r="A15" s="11"/>
      <c r="B15" s="11"/>
      <c r="C15" s="15" t="s">
        <v>121</v>
      </c>
      <c r="D15" s="7">
        <v>7.3</v>
      </c>
      <c r="E15" s="7">
        <v>7.57</v>
      </c>
      <c r="F15" s="7">
        <v>8.08</v>
      </c>
      <c r="G15" s="7">
        <v>8.58</v>
      </c>
      <c r="H15" s="7">
        <v>8.14</v>
      </c>
      <c r="I15" s="7">
        <v>7.81</v>
      </c>
      <c r="J15" s="7">
        <v>7.19</v>
      </c>
      <c r="K15" s="7">
        <v>6.77</v>
      </c>
      <c r="L15" s="7">
        <v>7.21</v>
      </c>
      <c r="M15" s="7">
        <v>7.24</v>
      </c>
      <c r="N15" s="7">
        <v>7.4</v>
      </c>
      <c r="O15" s="7">
        <v>7.2</v>
      </c>
      <c r="P15" s="11"/>
      <c r="Q15"/>
    </row>
    <row r="16" spans="1:17" ht="17">
      <c r="A16" s="11"/>
      <c r="B16" s="11"/>
      <c r="C16" s="15" t="s">
        <v>124</v>
      </c>
      <c r="D16" s="7">
        <v>10.1</v>
      </c>
      <c r="E16" s="7">
        <v>10.9</v>
      </c>
      <c r="F16" s="7">
        <v>11.9</v>
      </c>
      <c r="G16" s="7">
        <v>13</v>
      </c>
      <c r="H16" s="7">
        <v>13.9</v>
      </c>
      <c r="I16" s="7">
        <v>14.4</v>
      </c>
      <c r="J16" s="7">
        <v>14.2</v>
      </c>
      <c r="K16" s="7">
        <v>13.4</v>
      </c>
      <c r="L16" s="7">
        <v>12.4</v>
      </c>
      <c r="M16" s="7">
        <v>11.3</v>
      </c>
      <c r="N16" s="7">
        <v>10.3</v>
      </c>
      <c r="O16" s="7">
        <v>9.8800000000000008</v>
      </c>
      <c r="P16" s="11"/>
      <c r="Q16"/>
    </row>
    <row r="17" spans="1:31" s="14" customFormat="1">
      <c r="A17" s="11"/>
      <c r="B17" s="11"/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1"/>
    </row>
    <row r="18" spans="1:31" s="14" customFormat="1" ht="20">
      <c r="A18" s="11"/>
      <c r="B18" s="11"/>
      <c r="C18" s="158" t="s">
        <v>23</v>
      </c>
      <c r="D18" s="158"/>
      <c r="E18" s="158"/>
      <c r="F18" s="3"/>
      <c r="G18" s="3"/>
      <c r="H18" s="3"/>
      <c r="I18" s="3"/>
      <c r="J18" s="3"/>
      <c r="K18" s="3"/>
      <c r="L18" s="3"/>
      <c r="M18" s="3"/>
      <c r="N18" s="3"/>
      <c r="O18" s="3"/>
      <c r="P18" s="11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</row>
    <row r="19" spans="1:31">
      <c r="A19" s="11"/>
      <c r="B19" s="11"/>
      <c r="C19" s="12"/>
      <c r="D19" s="143" t="s">
        <v>69</v>
      </c>
      <c r="E19" s="16" t="s">
        <v>27</v>
      </c>
      <c r="P19" s="11"/>
      <c r="Q19"/>
    </row>
    <row r="20" spans="1:31" ht="32">
      <c r="A20" s="11"/>
      <c r="B20" s="11"/>
      <c r="C20" s="141" t="s">
        <v>152</v>
      </c>
      <c r="D20" s="144" t="s">
        <v>153</v>
      </c>
      <c r="E20" s="142">
        <v>5</v>
      </c>
      <c r="P20" s="11"/>
      <c r="Q20"/>
    </row>
    <row r="21" spans="1:31" ht="17" customHeight="1">
      <c r="A21" s="11"/>
      <c r="B21" s="11"/>
      <c r="C21" s="141" t="s">
        <v>73</v>
      </c>
      <c r="D21" s="145" t="s">
        <v>66</v>
      </c>
      <c r="E21" s="142">
        <v>3.3000000000000002E-2</v>
      </c>
      <c r="F21" s="169" t="s">
        <v>167</v>
      </c>
      <c r="G21" s="170"/>
      <c r="H21" s="170"/>
      <c r="I21" s="170"/>
      <c r="J21" s="170"/>
      <c r="K21" s="170"/>
      <c r="L21" s="170"/>
      <c r="P21" s="11"/>
    </row>
    <row r="22" spans="1:31" ht="17">
      <c r="A22" s="11"/>
      <c r="B22" s="11"/>
      <c r="C22" s="141" t="s">
        <v>175</v>
      </c>
      <c r="D22" s="144" t="s">
        <v>154</v>
      </c>
      <c r="E22" s="142">
        <v>6.7000000000000004E-2</v>
      </c>
      <c r="P22" s="11"/>
    </row>
    <row r="23" spans="1:31" ht="17" customHeight="1">
      <c r="A23" s="11"/>
      <c r="B23" s="11"/>
      <c r="C23" s="141" t="s">
        <v>74</v>
      </c>
      <c r="D23" s="145" t="s">
        <v>67</v>
      </c>
      <c r="E23" s="142">
        <v>0.02</v>
      </c>
      <c r="F23" s="169" t="s">
        <v>166</v>
      </c>
      <c r="G23" s="170"/>
      <c r="H23" s="170"/>
      <c r="I23" s="170"/>
      <c r="J23" s="170"/>
      <c r="K23" s="170"/>
      <c r="L23" s="170"/>
      <c r="P23" s="11"/>
    </row>
    <row r="24" spans="1:31" ht="20">
      <c r="A24" s="11"/>
      <c r="B24" s="11"/>
      <c r="C24" s="159" t="s">
        <v>25</v>
      </c>
      <c r="D24" s="157"/>
      <c r="E24" s="159"/>
      <c r="P24" s="11"/>
    </row>
    <row r="25" spans="1:31">
      <c r="A25" s="11"/>
      <c r="B25" s="11"/>
      <c r="C25" s="12"/>
      <c r="D25" s="17" t="s">
        <v>69</v>
      </c>
      <c r="E25" s="16" t="s">
        <v>27</v>
      </c>
      <c r="P25" s="11"/>
    </row>
    <row r="26" spans="1:31">
      <c r="A26" s="11"/>
      <c r="B26" s="11"/>
      <c r="C26" s="149" t="s">
        <v>168</v>
      </c>
      <c r="D26" s="150" t="s">
        <v>169</v>
      </c>
      <c r="E26" s="7">
        <v>1500</v>
      </c>
      <c r="P26" s="11"/>
    </row>
    <row r="27" spans="1:31" ht="17">
      <c r="A27" s="11"/>
      <c r="B27" s="11"/>
      <c r="C27" s="16" t="s">
        <v>83</v>
      </c>
      <c r="D27" s="151"/>
      <c r="E27" s="18">
        <v>9.8000000000000007</v>
      </c>
      <c r="P27" s="11"/>
    </row>
    <row r="28" spans="1:31" ht="17">
      <c r="A28" s="11"/>
      <c r="B28" s="11"/>
      <c r="C28" s="16" t="s">
        <v>163</v>
      </c>
      <c r="D28" s="67" t="s">
        <v>173</v>
      </c>
      <c r="E28" s="18">
        <v>1800</v>
      </c>
      <c r="P28" s="11"/>
    </row>
    <row r="29" spans="1:31" ht="17">
      <c r="A29" s="11"/>
      <c r="B29" s="11"/>
      <c r="C29" s="16" t="s">
        <v>164</v>
      </c>
      <c r="D29" s="13">
        <v>80</v>
      </c>
      <c r="E29" s="18">
        <v>81</v>
      </c>
      <c r="P29" s="11"/>
    </row>
    <row r="30" spans="1:31">
      <c r="A30" s="11"/>
      <c r="B30" s="11"/>
      <c r="C30" s="185" t="s">
        <v>80</v>
      </c>
      <c r="D30" s="185"/>
      <c r="E30" s="185"/>
      <c r="F30" s="167" t="s">
        <v>81</v>
      </c>
      <c r="G30" s="167"/>
      <c r="H30" s="167"/>
      <c r="I30" s="167"/>
      <c r="J30" s="167"/>
      <c r="K30" s="167"/>
      <c r="P30" s="11"/>
    </row>
    <row r="31" spans="1:31">
      <c r="A31" s="11"/>
      <c r="B31" s="11"/>
      <c r="C31" s="181"/>
      <c r="D31" s="181"/>
      <c r="E31" s="181"/>
      <c r="F31" s="171"/>
      <c r="G31" s="171"/>
      <c r="H31" s="171"/>
      <c r="I31" s="16" t="s">
        <v>69</v>
      </c>
      <c r="J31" s="16" t="s">
        <v>27</v>
      </c>
      <c r="P31" s="11"/>
      <c r="Q31"/>
    </row>
    <row r="32" spans="1:31" ht="17">
      <c r="A32" s="11"/>
      <c r="B32" s="11"/>
      <c r="C32" s="16"/>
      <c r="D32" s="19" t="s">
        <v>69</v>
      </c>
      <c r="E32" s="19" t="s">
        <v>27</v>
      </c>
      <c r="F32" s="186" t="s">
        <v>78</v>
      </c>
      <c r="G32" s="186"/>
      <c r="H32" s="186"/>
      <c r="I32" s="13" t="s">
        <v>82</v>
      </c>
      <c r="J32" s="68">
        <v>8</v>
      </c>
      <c r="P32" s="11"/>
      <c r="Q32"/>
    </row>
    <row r="33" spans="1:39" ht="17">
      <c r="A33" s="11"/>
      <c r="B33" s="11"/>
      <c r="C33" s="16" t="s">
        <v>77</v>
      </c>
      <c r="D33" s="13" t="s">
        <v>64</v>
      </c>
      <c r="E33" s="18">
        <v>0.5</v>
      </c>
      <c r="F33" s="186" t="s">
        <v>77</v>
      </c>
      <c r="G33" s="186"/>
      <c r="H33" s="186"/>
      <c r="I33" s="67" t="s">
        <v>64</v>
      </c>
      <c r="J33" s="68">
        <v>0.45</v>
      </c>
      <c r="K33" s="172" t="s">
        <v>180</v>
      </c>
      <c r="L33" s="173"/>
      <c r="M33" s="173"/>
      <c r="N33" s="173"/>
      <c r="O33" s="173"/>
      <c r="P33" s="173"/>
      <c r="Q33" s="174"/>
    </row>
    <row r="34" spans="1:39" ht="17">
      <c r="A34" s="11"/>
      <c r="B34" s="11"/>
      <c r="C34" s="19" t="s">
        <v>79</v>
      </c>
      <c r="D34" s="13" t="s">
        <v>75</v>
      </c>
      <c r="E34" s="18">
        <v>1</v>
      </c>
      <c r="F34" s="186" t="s">
        <v>79</v>
      </c>
      <c r="G34" s="171"/>
      <c r="H34" s="171"/>
      <c r="I34" s="13" t="s">
        <v>75</v>
      </c>
      <c r="J34" s="68">
        <v>0.95</v>
      </c>
      <c r="K34" s="160" t="s">
        <v>76</v>
      </c>
      <c r="L34" s="160"/>
      <c r="M34" s="160"/>
      <c r="N34" s="160"/>
      <c r="O34" s="160"/>
      <c r="P34" s="160"/>
      <c r="Q34" s="160"/>
    </row>
    <row r="35" spans="1:39">
      <c r="A35" s="11"/>
      <c r="B35" s="11"/>
      <c r="F35" s="180" t="s">
        <v>91</v>
      </c>
      <c r="G35" s="180"/>
      <c r="H35" s="180"/>
      <c r="I35" s="161" t="s">
        <v>179</v>
      </c>
      <c r="J35" s="161"/>
      <c r="K35" s="161"/>
      <c r="P35" s="11"/>
    </row>
    <row r="36" spans="1:39" ht="20">
      <c r="A36" s="11"/>
      <c r="B36" s="11"/>
      <c r="C36" s="157" t="s">
        <v>26</v>
      </c>
      <c r="D36" s="157"/>
      <c r="E36" s="157"/>
      <c r="P36" s="11"/>
    </row>
    <row r="37" spans="1:39">
      <c r="A37" s="11"/>
      <c r="B37" s="11"/>
      <c r="D37" s="21" t="s">
        <v>69</v>
      </c>
      <c r="E37" s="21" t="s">
        <v>27</v>
      </c>
      <c r="G37" s="191" t="s">
        <v>126</v>
      </c>
      <c r="H37" s="192"/>
      <c r="I37" s="192"/>
      <c r="J37" s="192"/>
      <c r="K37" s="192"/>
      <c r="L37" s="192"/>
      <c r="M37" s="193"/>
      <c r="P37" s="11"/>
    </row>
    <row r="38" spans="1:39" ht="17">
      <c r="A38" s="11"/>
      <c r="B38" s="11"/>
      <c r="C38" s="21" t="s">
        <v>176</v>
      </c>
      <c r="D38" s="134" t="s">
        <v>134</v>
      </c>
      <c r="E38" s="80">
        <v>5</v>
      </c>
      <c r="G38" s="187" t="s">
        <v>178</v>
      </c>
      <c r="H38" s="188"/>
      <c r="I38" s="188"/>
      <c r="J38" s="188"/>
      <c r="K38" s="188"/>
      <c r="L38" s="188"/>
      <c r="M38" s="189"/>
      <c r="P38" s="11"/>
    </row>
    <row r="39" spans="1:39" ht="17">
      <c r="A39" s="11"/>
      <c r="B39" s="11"/>
      <c r="C39" s="21" t="s">
        <v>127</v>
      </c>
      <c r="D39" s="81" t="s">
        <v>136</v>
      </c>
      <c r="E39" s="80">
        <v>4.75</v>
      </c>
      <c r="G39" s="187" t="s">
        <v>128</v>
      </c>
      <c r="H39" s="188"/>
      <c r="I39" s="188"/>
      <c r="J39" s="188"/>
      <c r="K39" s="188"/>
      <c r="L39" s="188"/>
      <c r="M39" s="189"/>
      <c r="N39" s="119"/>
      <c r="P39" s="11"/>
    </row>
    <row r="40" spans="1:39" ht="17">
      <c r="A40" s="11"/>
      <c r="B40" s="11"/>
      <c r="C40" s="21" t="s">
        <v>161</v>
      </c>
      <c r="D40" s="134" t="s">
        <v>135</v>
      </c>
      <c r="E40" s="80">
        <v>1000</v>
      </c>
      <c r="G40" s="190" t="s">
        <v>29</v>
      </c>
      <c r="H40" s="190"/>
      <c r="I40" s="190"/>
      <c r="J40" s="190"/>
      <c r="K40" s="190"/>
      <c r="L40" s="190"/>
      <c r="M40" s="190"/>
      <c r="N40" s="119"/>
      <c r="P40" s="11"/>
    </row>
    <row r="41" spans="1:39" ht="17">
      <c r="A41" s="11"/>
      <c r="B41" s="11"/>
      <c r="C41" s="21" t="s">
        <v>162</v>
      </c>
      <c r="D41" s="81" t="s">
        <v>151</v>
      </c>
      <c r="E41" s="80">
        <v>220</v>
      </c>
      <c r="N41" s="119"/>
      <c r="P41" s="11"/>
    </row>
    <row r="42" spans="1:39" ht="17">
      <c r="A42" s="11"/>
      <c r="B42" s="11"/>
      <c r="C42" s="21" t="s">
        <v>28</v>
      </c>
      <c r="D42" s="81" t="s">
        <v>104</v>
      </c>
      <c r="E42" s="80">
        <v>0.72</v>
      </c>
      <c r="F42" s="176" t="s">
        <v>100</v>
      </c>
      <c r="G42" s="176"/>
      <c r="H42" s="176"/>
      <c r="I42" s="176"/>
      <c r="J42" s="176"/>
      <c r="K42" s="176"/>
      <c r="L42" s="52"/>
      <c r="M42" s="52"/>
      <c r="N42" s="52"/>
      <c r="P42" s="11"/>
    </row>
    <row r="43" spans="1:39" ht="17">
      <c r="A43" s="11"/>
      <c r="B43" s="11"/>
      <c r="C43" s="21" t="s">
        <v>140</v>
      </c>
      <c r="D43" s="81" t="s">
        <v>103</v>
      </c>
      <c r="E43" s="80">
        <v>4.5</v>
      </c>
      <c r="F43" s="177" t="s">
        <v>141</v>
      </c>
      <c r="G43" s="178"/>
      <c r="H43" s="179"/>
      <c r="I43" s="79" t="s">
        <v>101</v>
      </c>
      <c r="J43" s="18">
        <v>4.3600000000000003</v>
      </c>
      <c r="P43" s="11"/>
      <c r="Q43"/>
    </row>
    <row r="44" spans="1:39" ht="16" customHeight="1">
      <c r="A44" s="11"/>
      <c r="B44" s="11"/>
      <c r="C44" s="19" t="s">
        <v>138</v>
      </c>
      <c r="D44" s="13" t="s">
        <v>105</v>
      </c>
      <c r="E44" s="18">
        <v>35</v>
      </c>
      <c r="F44" s="181" t="s">
        <v>137</v>
      </c>
      <c r="G44" s="181"/>
      <c r="H44" s="181"/>
      <c r="I44" s="79" t="s">
        <v>102</v>
      </c>
      <c r="J44" s="70">
        <v>6.38</v>
      </c>
      <c r="K44" s="160" t="s">
        <v>177</v>
      </c>
      <c r="L44" s="160"/>
      <c r="M44" s="160"/>
      <c r="N44" s="160"/>
      <c r="O44" s="160"/>
      <c r="P44" s="160"/>
      <c r="Q44" s="160"/>
      <c r="R44" s="160"/>
      <c r="S44" s="160"/>
    </row>
    <row r="45" spans="1:39" ht="17" customHeight="1">
      <c r="A45" s="11"/>
      <c r="B45" s="11"/>
      <c r="C45" s="16" t="s">
        <v>139</v>
      </c>
      <c r="D45" s="69" t="s">
        <v>114</v>
      </c>
      <c r="E45" s="70">
        <v>0.9</v>
      </c>
      <c r="F45" s="180" t="s">
        <v>113</v>
      </c>
      <c r="G45" s="180"/>
      <c r="H45" s="180"/>
      <c r="I45" s="69" t="s">
        <v>114</v>
      </c>
      <c r="J45" s="70">
        <v>0.9</v>
      </c>
      <c r="K45" s="160"/>
      <c r="L45" s="160"/>
      <c r="M45" s="160"/>
      <c r="N45" s="160"/>
      <c r="O45" s="160"/>
      <c r="P45" s="160"/>
      <c r="Q45" s="160"/>
      <c r="R45" s="160"/>
      <c r="S45" s="160"/>
    </row>
    <row r="46" spans="1:39">
      <c r="A46" s="49"/>
      <c r="B46" s="49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9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</row>
    <row r="47" spans="1:39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</row>
    <row r="48" spans="1:39" ht="20">
      <c r="A48" s="48"/>
      <c r="C48" s="55" t="s">
        <v>65</v>
      </c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</row>
    <row r="49" spans="1:44" ht="26" customHeight="1">
      <c r="A49" s="48"/>
      <c r="C49" s="106" t="s">
        <v>84</v>
      </c>
      <c r="D49" s="73" t="s">
        <v>116</v>
      </c>
      <c r="E49" s="73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R49" s="14"/>
      <c r="S49" s="14"/>
      <c r="T49" s="14"/>
      <c r="U49" s="14"/>
      <c r="V49" s="14"/>
      <c r="W49" s="14"/>
      <c r="X49" s="14"/>
    </row>
    <row r="50" spans="1:44" ht="20" customHeight="1">
      <c r="A50" s="48"/>
      <c r="C50" s="152" t="s">
        <v>86</v>
      </c>
      <c r="D50" s="153">
        <f>E26/1000</f>
        <v>1.5</v>
      </c>
      <c r="E50" s="73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R50" s="14"/>
      <c r="S50" s="14"/>
      <c r="T50" s="14"/>
      <c r="U50" s="14"/>
      <c r="V50" s="14"/>
      <c r="W50" s="14"/>
      <c r="X50" s="14"/>
    </row>
    <row r="51" spans="1:44" ht="34">
      <c r="A51" s="48"/>
      <c r="C51" s="154" t="s">
        <v>171</v>
      </c>
      <c r="D51" s="59">
        <f>0.5*1.23*E33*(E27^3)*(PI()*E29^2/4)/1000000</f>
        <v>1.4913626636808308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R51" s="14"/>
      <c r="S51" s="14"/>
      <c r="T51" s="14"/>
      <c r="U51" s="14"/>
      <c r="V51" s="14"/>
      <c r="W51" s="14"/>
      <c r="X51" s="14"/>
    </row>
    <row r="52" spans="1:44" ht="17">
      <c r="A52" s="48"/>
      <c r="C52" s="154" t="s">
        <v>170</v>
      </c>
      <c r="D52" s="109">
        <f>D50*1000*365*24</f>
        <v>13140000</v>
      </c>
      <c r="E52" s="14"/>
      <c r="F52" s="183" t="s">
        <v>70</v>
      </c>
      <c r="G52" s="184"/>
      <c r="H52" s="14"/>
      <c r="I52" s="14"/>
      <c r="J52" s="14"/>
      <c r="K52" s="14"/>
      <c r="L52" s="14"/>
      <c r="M52" s="14"/>
      <c r="N52" s="14"/>
      <c r="O52" s="14"/>
      <c r="P52" s="14"/>
      <c r="R52" s="14"/>
      <c r="S52" s="14"/>
      <c r="T52" s="14"/>
      <c r="U52" s="14"/>
      <c r="V52" s="14"/>
      <c r="W52" s="14"/>
      <c r="X52" s="14"/>
    </row>
    <row r="53" spans="1:44" s="31" customFormat="1" ht="34">
      <c r="A53" s="61"/>
      <c r="B53" s="65"/>
      <c r="C53" s="155" t="s">
        <v>172</v>
      </c>
      <c r="D53" s="60">
        <f>D51*365*24*1000</f>
        <v>13064336.933844078</v>
      </c>
      <c r="H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</row>
    <row r="54" spans="1:44" s="31" customFormat="1" ht="20">
      <c r="A54" s="61"/>
      <c r="B54" s="65"/>
      <c r="C54" s="120" t="s">
        <v>115</v>
      </c>
      <c r="D54" s="107"/>
      <c r="G54" s="53"/>
      <c r="H54" s="53"/>
      <c r="I54" s="74"/>
      <c r="J54" s="74"/>
      <c r="K54" s="57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44" ht="30" customHeight="1">
      <c r="A55" s="48"/>
      <c r="B55" s="122" t="s">
        <v>72</v>
      </c>
      <c r="C55" s="123" t="s">
        <v>117</v>
      </c>
      <c r="D55" s="109">
        <f>$J$43*365*$E$40*E38*3600/1000</f>
        <v>28645200</v>
      </c>
      <c r="E55" s="93" t="str">
        <f>C61</f>
        <v>City, USA</v>
      </c>
    </row>
    <row r="56" spans="1:44" ht="37" customHeight="1">
      <c r="A56" s="48"/>
      <c r="B56" s="122" t="s">
        <v>72</v>
      </c>
      <c r="C56" s="124" t="s">
        <v>132</v>
      </c>
      <c r="D56" s="109">
        <f>$J$43*365*$E$40*E39*3600/1000</f>
        <v>27212940</v>
      </c>
      <c r="E56" s="127" t="str">
        <f>C61</f>
        <v>City, USA</v>
      </c>
    </row>
    <row r="57" spans="1:44" ht="14" customHeight="1">
      <c r="A57" s="48"/>
      <c r="B57" s="132"/>
      <c r="C57" s="133"/>
      <c r="D57" s="128"/>
      <c r="E57" s="129"/>
    </row>
    <row r="58" spans="1:44" ht="75">
      <c r="A58" s="48"/>
      <c r="C58" s="121" t="s">
        <v>85</v>
      </c>
      <c r="D58" s="139" t="s">
        <v>149</v>
      </c>
      <c r="E58" s="130" t="s">
        <v>88</v>
      </c>
      <c r="F58" s="131" t="s">
        <v>87</v>
      </c>
      <c r="G58" s="111" t="s">
        <v>165</v>
      </c>
      <c r="H58" s="103" t="s">
        <v>63</v>
      </c>
      <c r="I58" s="111" t="s">
        <v>160</v>
      </c>
      <c r="J58" s="103" t="s">
        <v>159</v>
      </c>
      <c r="K58" s="111" t="s">
        <v>133</v>
      </c>
      <c r="L58" s="111" t="s">
        <v>131</v>
      </c>
      <c r="M58" s="111" t="s">
        <v>143</v>
      </c>
      <c r="N58" s="111" t="s">
        <v>142</v>
      </c>
      <c r="O58" s="103" t="s">
        <v>125</v>
      </c>
      <c r="P58" s="111" t="s">
        <v>144</v>
      </c>
      <c r="Q58" s="111" t="s">
        <v>150</v>
      </c>
      <c r="R58" s="103" t="s">
        <v>145</v>
      </c>
      <c r="V58" s="14"/>
      <c r="AN58" s="31"/>
      <c r="AO58" s="31"/>
      <c r="AP58" s="31"/>
      <c r="AQ58" s="31"/>
      <c r="AR58" s="31"/>
    </row>
    <row r="59" spans="1:44" ht="13" customHeight="1">
      <c r="A59" s="48"/>
      <c r="C59" s="102"/>
      <c r="D59" s="10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104"/>
      <c r="Q59" s="104"/>
      <c r="R59" s="104"/>
      <c r="V59" s="14"/>
      <c r="AN59" s="31"/>
      <c r="AO59" s="31"/>
      <c r="AP59" s="31"/>
      <c r="AQ59" s="31"/>
      <c r="AR59" s="31"/>
    </row>
    <row r="60" spans="1:44" ht="36" customHeight="1">
      <c r="A60" s="48"/>
      <c r="B60" s="125" t="s">
        <v>71</v>
      </c>
      <c r="C60" s="114" t="str">
        <f>D10</f>
        <v>Town, USA</v>
      </c>
      <c r="D60" s="114">
        <f>E5</f>
        <v>100</v>
      </c>
      <c r="E60" s="34">
        <f>'User Input Location'!O18</f>
        <v>18761074.441287663</v>
      </c>
      <c r="F60" s="54">
        <f>'User Input Location'!O20</f>
        <v>6029412.3193450756</v>
      </c>
      <c r="G60" s="34">
        <f t="shared" ref="G60:G79" si="0">E60/1055</f>
        <v>17783.008949087831</v>
      </c>
      <c r="H60" s="62">
        <f t="shared" ref="H60:H79" si="1">F60/293.1</f>
        <v>20571.178162214517</v>
      </c>
      <c r="I60" s="63">
        <f t="shared" ref="I60:I79" si="2">G60*$E$20</f>
        <v>88915.044745439154</v>
      </c>
      <c r="J60" s="64">
        <f t="shared" ref="J60:J79" si="3">F60*$E$22</f>
        <v>403970.62539612007</v>
      </c>
      <c r="K60" s="108">
        <f>$E60/'User Input Location'!$C$15</f>
        <v>0.5000263042826335</v>
      </c>
      <c r="L60" s="108">
        <f>$E60/'User Input Location'!$D$15</f>
        <v>0.52634347819224581</v>
      </c>
      <c r="M60" s="108">
        <f>K60/$E$45</f>
        <v>0.55558478253625943</v>
      </c>
      <c r="N60" s="108">
        <f>L60/$E$45</f>
        <v>0.58482608688027315</v>
      </c>
      <c r="O60" s="66">
        <f>F60/$D$52</f>
        <v>0.4588593850338718</v>
      </c>
      <c r="P60" s="91">
        <f>G60/($E$5*$E$7)</f>
        <v>6.1320720514095968E-3</v>
      </c>
      <c r="Q60" s="140">
        <f>G60/($E$5*E8)</f>
        <v>0.13027845383947129</v>
      </c>
      <c r="R60" s="90">
        <f>F60/($E$6*$E$5*1000000)</f>
        <v>8.1478544856014537E-2</v>
      </c>
      <c r="U60" s="31"/>
      <c r="V60" s="65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</row>
    <row r="61" spans="1:44" ht="32" customHeight="1">
      <c r="A61" s="48"/>
      <c r="B61" s="126" t="s">
        <v>72</v>
      </c>
      <c r="C61" s="115" t="str">
        <f>I35</f>
        <v>City, USA</v>
      </c>
      <c r="D61" s="115">
        <f>E5</f>
        <v>100</v>
      </c>
      <c r="E61" s="82">
        <f>J45*INPUTS!$E$38*INPUTS!$E$40*((INPUTS!$E$42*J43*365*(3600/1000))-(INPUTS!$E$43*(INPUTS!$E$44-J44)*(10)*3600*365)/(10^6))</f>
        <v>10946736.900000002</v>
      </c>
      <c r="F61" s="54">
        <f>(PI()*(E29^2)/4)*0.5*J33*J34*1.23*(J32^3)*24*365/1000</f>
        <v>6076384.134331339</v>
      </c>
      <c r="G61" s="34">
        <f t="shared" si="0"/>
        <v>10376.053933649291</v>
      </c>
      <c r="H61" s="62">
        <f t="shared" si="1"/>
        <v>20731.436828151956</v>
      </c>
      <c r="I61" s="63">
        <f t="shared" si="2"/>
        <v>51880.269668246459</v>
      </c>
      <c r="J61" s="64">
        <f t="shared" si="3"/>
        <v>407117.73700019973</v>
      </c>
      <c r="K61" s="108">
        <f>E61/D55</f>
        <v>0.38214908256880742</v>
      </c>
      <c r="L61" s="108">
        <f>E61/D56</f>
        <v>0.40226219217769199</v>
      </c>
      <c r="M61" s="108">
        <f t="shared" ref="M61:N79" si="4">K61/$E$45</f>
        <v>0.42461009174311937</v>
      </c>
      <c r="N61" s="108">
        <f t="shared" si="4"/>
        <v>0.44695799130854663</v>
      </c>
      <c r="O61" s="66">
        <f t="shared" ref="O61:O79" si="5">F61/$D$52</f>
        <v>0.46243410459142609</v>
      </c>
      <c r="P61" s="91">
        <f>G61/($E$5*$E$7)</f>
        <v>3.5779496322928591E-3</v>
      </c>
      <c r="Q61" s="140">
        <f>G61/($E$5*$E$8)</f>
        <v>7.6015047132961838E-2</v>
      </c>
      <c r="R61" s="90">
        <f>F61/($E$6*$E$5*1000000)</f>
        <v>8.2113299112585664E-2</v>
      </c>
      <c r="V61" s="14"/>
    </row>
    <row r="62" spans="1:44">
      <c r="A62" s="48"/>
      <c r="C62" s="13" t="s">
        <v>34</v>
      </c>
      <c r="D62" s="118">
        <f>'Logansport, IN'!C2</f>
        <v>110</v>
      </c>
      <c r="E62" s="34">
        <f>'Logansport, IN'!O18</f>
        <v>12103492.2523074</v>
      </c>
      <c r="F62" s="54">
        <f>'Logansport, IN'!O20</f>
        <v>4255197.490215674</v>
      </c>
      <c r="G62" s="34">
        <f t="shared" si="0"/>
        <v>11472.504504556777</v>
      </c>
      <c r="H62" s="62">
        <f t="shared" si="1"/>
        <v>14517.903412540682</v>
      </c>
      <c r="I62" s="63">
        <f t="shared" si="2"/>
        <v>57362.522522783882</v>
      </c>
      <c r="J62" s="64">
        <f t="shared" si="3"/>
        <v>285098.23184445017</v>
      </c>
      <c r="K62" s="108">
        <f>E62/'Logansport, IN'!$C$15</f>
        <v>0.43363741004377754</v>
      </c>
      <c r="L62" s="108">
        <f>E62/'Logansport, IN'!$D$15</f>
        <v>0.45646043162502897</v>
      </c>
      <c r="M62" s="108">
        <f t="shared" si="4"/>
        <v>0.48181934449308617</v>
      </c>
      <c r="N62" s="108">
        <f t="shared" si="4"/>
        <v>0.5071782573611433</v>
      </c>
      <c r="O62" s="66">
        <f t="shared" si="5"/>
        <v>0.32383542543498278</v>
      </c>
      <c r="P62" s="91">
        <f>$G$62/('Logansport, IN'!$C$2*INPUTS!$E$7)</f>
        <v>3.5963963964127828E-3</v>
      </c>
      <c r="Q62" s="140">
        <f>G62/(D62*$E$8)</f>
        <v>7.6406956407304535E-2</v>
      </c>
      <c r="R62" s="105">
        <f>F62/('Logansport, IN'!C2*INPUTS!$E$6*1000000)</f>
        <v>5.2275153442452996E-2</v>
      </c>
      <c r="V62" s="14"/>
    </row>
    <row r="63" spans="1:44">
      <c r="A63" s="48"/>
      <c r="C63" s="27" t="s">
        <v>35</v>
      </c>
      <c r="D63" s="27">
        <f>'Gibson City, IL'!C2</f>
        <v>100</v>
      </c>
      <c r="E63" s="34">
        <f>'Gibson City, IL'!O18</f>
        <v>12497478.87297168</v>
      </c>
      <c r="F63" s="54">
        <f>'Gibson City, IL'!O20</f>
        <v>4231212.2720524296</v>
      </c>
      <c r="G63" s="34">
        <f t="shared" si="0"/>
        <v>11845.951538361782</v>
      </c>
      <c r="H63" s="62">
        <f t="shared" si="1"/>
        <v>14436.07052900863</v>
      </c>
      <c r="I63" s="63">
        <f t="shared" si="2"/>
        <v>59229.757691808911</v>
      </c>
      <c r="J63" s="64">
        <f t="shared" si="3"/>
        <v>283491.2222275128</v>
      </c>
      <c r="K63" s="108">
        <f>E63/'Gibson City, IL'!$C$15</f>
        <v>0.44032495042602732</v>
      </c>
      <c r="L63" s="108">
        <f>E63/'Gibson City, IL'!$D$15</f>
        <v>0.46349994781687087</v>
      </c>
      <c r="M63" s="108">
        <f t="shared" si="4"/>
        <v>0.4892499449178081</v>
      </c>
      <c r="N63" s="108">
        <f t="shared" si="4"/>
        <v>0.51499994201874544</v>
      </c>
      <c r="O63" s="66">
        <f t="shared" si="5"/>
        <v>0.32201006636624274</v>
      </c>
      <c r="P63" s="91">
        <f>G63/('Gibson City, IL'!$C$2*INPUTS!$E$7)</f>
        <v>4.0848108752971658E-3</v>
      </c>
      <c r="Q63" s="140">
        <f t="shared" ref="Q63:Q79" si="6">G63/(D63*$E$8)</f>
        <v>8.6783527753566167E-2</v>
      </c>
      <c r="R63" s="105">
        <f>F63/('Gibson City, IL'!$C$2*INPUTS!$E$6*1000000)</f>
        <v>5.7178544216924726E-2</v>
      </c>
      <c r="V63" s="14"/>
    </row>
    <row r="64" spans="1:44">
      <c r="A64" s="48"/>
      <c r="C64" s="4" t="s">
        <v>36</v>
      </c>
      <c r="D64" s="4">
        <f>'Cambria, WI'!C2</f>
        <v>55</v>
      </c>
      <c r="E64" s="34">
        <f>'Cambria, WI'!O18</f>
        <v>11607169.77132903</v>
      </c>
      <c r="F64" s="54">
        <f>'Cambria, WI'!O20</f>
        <v>3778592.0333044366</v>
      </c>
      <c r="G64" s="34">
        <f t="shared" si="0"/>
        <v>11002.056655288181</v>
      </c>
      <c r="H64" s="62">
        <f>F64/293.1</f>
        <v>12891.818605610495</v>
      </c>
      <c r="I64" s="63">
        <f>G64*$E$20</f>
        <v>55010.283276440903</v>
      </c>
      <c r="J64" s="64">
        <f t="shared" si="3"/>
        <v>253165.66623139728</v>
      </c>
      <c r="K64" s="108">
        <f>E64/'Cambria, WI'!$C$15</f>
        <v>0.40990545407229767</v>
      </c>
      <c r="L64" s="108">
        <f>E64/'Cambria, WI'!$D$15</f>
        <v>0.4314794253392607</v>
      </c>
      <c r="M64" s="108">
        <f t="shared" si="4"/>
        <v>0.4554505045247752</v>
      </c>
      <c r="N64" s="108">
        <f t="shared" si="4"/>
        <v>0.47942158371028964</v>
      </c>
      <c r="O64" s="66">
        <f t="shared" si="5"/>
        <v>0.28756408168222503</v>
      </c>
      <c r="P64" s="91">
        <f>G64/('Cambria, WI'!$C$2*INPUTS!$E$7)</f>
        <v>6.8978411631900821E-3</v>
      </c>
      <c r="Q64" s="140">
        <f t="shared" si="6"/>
        <v>0.14654754119597976</v>
      </c>
      <c r="R64" s="105">
        <f>F64/('Cambria, WI'!$C$2*INPUTS!$E$6*1000000)</f>
        <v>9.2840099098389112E-2</v>
      </c>
      <c r="V64" s="14"/>
    </row>
    <row r="65" spans="1:44">
      <c r="A65" s="48"/>
      <c r="C65" s="28" t="s">
        <v>37</v>
      </c>
      <c r="D65" s="28">
        <f>'Marshall, MN'!C2</f>
        <v>40</v>
      </c>
      <c r="E65" s="34">
        <f>'Marshall, MN'!O18</f>
        <v>11354602.669300711</v>
      </c>
      <c r="F65" s="54">
        <f>'Marshall, MN'!O20</f>
        <v>3494024.4677622309</v>
      </c>
      <c r="G65" s="34">
        <f t="shared" si="0"/>
        <v>10762.656558578872</v>
      </c>
      <c r="H65" s="62">
        <f t="shared" si="1"/>
        <v>11920.92960683122</v>
      </c>
      <c r="I65" s="63">
        <f t="shared" si="2"/>
        <v>53813.282792894359</v>
      </c>
      <c r="J65" s="64">
        <f t="shared" si="3"/>
        <v>234099.63934006949</v>
      </c>
      <c r="K65" s="108">
        <f>E65/'Marshall, MN'!$C$15</f>
        <v>0.39638762058916366</v>
      </c>
      <c r="L65" s="108">
        <f>E65/'Marshall, MN'!$D$15</f>
        <v>0.41725012693596175</v>
      </c>
      <c r="M65" s="108">
        <f t="shared" si="4"/>
        <v>0.44043068954351516</v>
      </c>
      <c r="N65" s="108">
        <f t="shared" si="4"/>
        <v>0.46361125215106858</v>
      </c>
      <c r="O65" s="66">
        <f t="shared" si="5"/>
        <v>0.26590749374141787</v>
      </c>
      <c r="P65" s="91">
        <f>G65/('Marshall, MN'!$C$2*INPUTS!$E$7)</f>
        <v>9.2781522056714413E-3</v>
      </c>
      <c r="Q65" s="140">
        <f t="shared" si="6"/>
        <v>0.19711825198862404</v>
      </c>
      <c r="R65" s="105">
        <f>F65/('Marshall, MN'!$C$2*INPUTS!$E$6*1000000)</f>
        <v>0.11804136715412943</v>
      </c>
      <c r="V65" s="14"/>
    </row>
    <row r="66" spans="1:44">
      <c r="A66" s="48"/>
      <c r="C66" s="27" t="s">
        <v>38</v>
      </c>
      <c r="D66" s="27">
        <f>'Watertown, SD'!C2</f>
        <v>100</v>
      </c>
      <c r="E66" s="34">
        <f>'Watertown, SD'!O18</f>
        <v>12021865.127535868</v>
      </c>
      <c r="F66" s="54">
        <f>'Watertown, SD'!O20</f>
        <v>5603603.1794040063</v>
      </c>
      <c r="G66" s="34">
        <f t="shared" si="0"/>
        <v>11395.13282230888</v>
      </c>
      <c r="H66" s="62">
        <f t="shared" si="1"/>
        <v>19118.400475619263</v>
      </c>
      <c r="I66" s="63">
        <f t="shared" si="2"/>
        <v>56975.6641115444</v>
      </c>
      <c r="J66" s="64">
        <f t="shared" si="3"/>
        <v>375441.41302006843</v>
      </c>
      <c r="K66" s="108">
        <f>E66/'Watertown, SD'!$C$15</f>
        <v>0.40482567339933018</v>
      </c>
      <c r="L66" s="108">
        <f>E66/'Watertown, SD'!$D$15</f>
        <v>0.4261322877887686</v>
      </c>
      <c r="M66" s="108">
        <f t="shared" si="4"/>
        <v>0.44980630377703351</v>
      </c>
      <c r="N66" s="108">
        <f t="shared" si="4"/>
        <v>0.47348031976529842</v>
      </c>
      <c r="O66" s="66">
        <f t="shared" si="5"/>
        <v>0.42645381882831096</v>
      </c>
      <c r="P66" s="91">
        <f>G66/('Watertown, SD'!$C$2*INPUTS!$E$7)</f>
        <v>3.9293561456237519E-3</v>
      </c>
      <c r="Q66" s="140">
        <f t="shared" si="6"/>
        <v>8.3480826537061389E-2</v>
      </c>
      <c r="R66" s="105">
        <f>F66/('Watertown, SD'!$C$2*INPUTS!$E$6*1000000)</f>
        <v>7.5724367289243324E-2</v>
      </c>
      <c r="V66" s="14"/>
    </row>
    <row r="67" spans="1:44">
      <c r="A67" s="48"/>
      <c r="C67" s="27" t="s">
        <v>39</v>
      </c>
      <c r="D67" s="27">
        <f>'Richardton, ND'!C2</f>
        <v>50</v>
      </c>
      <c r="E67" s="34">
        <f>'Richardton, ND'!O18</f>
        <v>11177219.594897909</v>
      </c>
      <c r="F67" s="54">
        <f>'Richardton, ND'!O20</f>
        <v>5479170.320543089</v>
      </c>
      <c r="G67" s="34">
        <f t="shared" si="0"/>
        <v>10594.520943031193</v>
      </c>
      <c r="H67" s="62">
        <f t="shared" si="1"/>
        <v>18693.85984490989</v>
      </c>
      <c r="I67" s="63">
        <f t="shared" si="2"/>
        <v>52972.604715155969</v>
      </c>
      <c r="J67" s="64">
        <f t="shared" si="3"/>
        <v>367104.411476387</v>
      </c>
      <c r="K67" s="108">
        <f>E67/'Richardton, ND'!$C$15</f>
        <v>0.3884134885600769</v>
      </c>
      <c r="L67" s="108">
        <f>E67/'Richardton, ND'!$D$15</f>
        <v>0.40885630374744936</v>
      </c>
      <c r="M67" s="108">
        <f t="shared" si="4"/>
        <v>0.43157054284452989</v>
      </c>
      <c r="N67" s="108">
        <f t="shared" si="4"/>
        <v>0.45428478194161037</v>
      </c>
      <c r="O67" s="66">
        <f t="shared" si="5"/>
        <v>0.4169840426592914</v>
      </c>
      <c r="P67" s="91">
        <f>G67/('Richardton, ND'!$C$2*INPUTS!$E$7)</f>
        <v>7.3065661676077198E-3</v>
      </c>
      <c r="Q67" s="140">
        <f t="shared" si="6"/>
        <v>0.15523107608836914</v>
      </c>
      <c r="R67" s="105">
        <f>F67/('Richardton, ND'!$C$2*INPUTS!$E$6*1000000)</f>
        <v>0.1480856843390024</v>
      </c>
      <c r="V67" s="14"/>
    </row>
    <row r="68" spans="1:44">
      <c r="A68" s="48"/>
      <c r="C68" s="27" t="s">
        <v>99</v>
      </c>
      <c r="D68" s="27">
        <f>'Arthur, IA'!C2</f>
        <v>110</v>
      </c>
      <c r="E68" s="34">
        <f>'Arthur, IA'!O18</f>
        <v>12076249.284507599</v>
      </c>
      <c r="F68" s="54">
        <f>'Arthur, IA'!O20</f>
        <v>4127935.0040569152</v>
      </c>
      <c r="G68" s="34">
        <f t="shared" si="0"/>
        <v>11446.681786263127</v>
      </c>
      <c r="H68" s="62">
        <f t="shared" si="1"/>
        <v>14083.708645707658</v>
      </c>
      <c r="I68" s="63">
        <f t="shared" si="2"/>
        <v>57233.408931315636</v>
      </c>
      <c r="J68" s="64">
        <f t="shared" si="3"/>
        <v>276571.64527181332</v>
      </c>
      <c r="K68" s="108">
        <f>E68/'Arthur, IA'!$C$15</f>
        <v>0.41585739665790611</v>
      </c>
      <c r="L68" s="108">
        <f>E68/'Arthur, IA'!$D$15</f>
        <v>0.43774462806095382</v>
      </c>
      <c r="M68" s="108">
        <f t="shared" si="4"/>
        <v>0.46206377406434013</v>
      </c>
      <c r="N68" s="147">
        <f t="shared" si="4"/>
        <v>0.48638292006772643</v>
      </c>
      <c r="O68" s="66">
        <f t="shared" si="5"/>
        <v>0.31415030472274846</v>
      </c>
      <c r="P68" s="91">
        <f>G68/('Arthur, IA'!$C$2*INPUTS!$E$7)</f>
        <v>3.5883015003959646E-3</v>
      </c>
      <c r="Q68" s="140">
        <f t="shared" si="6"/>
        <v>7.6234976931489354E-2</v>
      </c>
      <c r="R68" s="105">
        <f>F68/('Arthur, IA'!$C$2*INPUTS!$E$6*1000000)</f>
        <v>5.0711732236571438E-2</v>
      </c>
      <c r="V68" s="14"/>
    </row>
    <row r="69" spans="1:44">
      <c r="A69" s="48"/>
      <c r="C69" s="27" t="s">
        <v>40</v>
      </c>
      <c r="D69" s="27">
        <f>'St. Joseph, MO'!C2</f>
        <v>50</v>
      </c>
      <c r="E69" s="34">
        <f>'St. Joseph, MO'!O18</f>
        <v>13598863.100941051</v>
      </c>
      <c r="F69" s="54">
        <f>'St. Joseph, MO'!O20</f>
        <v>3890302.1314427443</v>
      </c>
      <c r="G69" s="34">
        <f t="shared" si="0"/>
        <v>12889.917631223745</v>
      </c>
      <c r="H69" s="62">
        <f t="shared" si="1"/>
        <v>13272.951659647711</v>
      </c>
      <c r="I69" s="63">
        <f t="shared" si="2"/>
        <v>64449.588156118727</v>
      </c>
      <c r="J69" s="64">
        <f t="shared" si="3"/>
        <v>260650.24280666388</v>
      </c>
      <c r="K69" s="108">
        <f>E69/'St. Joseph, MO'!$C$15</f>
        <v>0.45242451949800139</v>
      </c>
      <c r="L69" s="108">
        <f>E69/'St. Joseph, MO'!$D$15</f>
        <v>0.47623633631368567</v>
      </c>
      <c r="M69" s="108">
        <f>K69/$E$45</f>
        <v>0.5026939105533349</v>
      </c>
      <c r="N69" s="108">
        <f t="shared" si="4"/>
        <v>0.52915148479298402</v>
      </c>
      <c r="O69" s="66">
        <f t="shared" si="5"/>
        <v>0.29606561122090902</v>
      </c>
      <c r="P69" s="91">
        <f>G69/('St. Joseph, MO'!$C$2*INPUTS!$E$7)</f>
        <v>8.8895983663612038E-3</v>
      </c>
      <c r="Q69" s="140">
        <f t="shared" si="6"/>
        <v>0.1888632619959523</v>
      </c>
      <c r="R69" s="105">
        <f>F69/('St. Joseph, MO'!$C$2*INPUTS!$E$6*1000000)</f>
        <v>0.1051433008498039</v>
      </c>
      <c r="V69" s="14"/>
    </row>
    <row r="70" spans="1:44">
      <c r="A70" s="48"/>
      <c r="C70" s="27" t="s">
        <v>41</v>
      </c>
      <c r="D70" s="27">
        <f>'Sutherland, NE'!C2</f>
        <v>26</v>
      </c>
      <c r="E70" s="34">
        <f>'Sutherland, NE'!O18</f>
        <v>14241697.801527694</v>
      </c>
      <c r="F70" s="54">
        <f>'Sutherland, NE'!O20</f>
        <v>4681952.5602746904</v>
      </c>
      <c r="G70" s="34">
        <f t="shared" si="0"/>
        <v>13499.239622301131</v>
      </c>
      <c r="H70" s="62">
        <f t="shared" si="1"/>
        <v>15973.908428095156</v>
      </c>
      <c r="I70" s="63">
        <f t="shared" si="2"/>
        <v>67496.198111505655</v>
      </c>
      <c r="J70" s="64">
        <f t="shared" si="3"/>
        <v>313690.82153840427</v>
      </c>
      <c r="K70" s="108">
        <f>E70/'Sutherland, NE'!$C$15</f>
        <v>0.43703349172459416</v>
      </c>
      <c r="L70" s="108">
        <f>E70/'Sutherland, NE'!$D$15</f>
        <v>0.46003525444694121</v>
      </c>
      <c r="M70" s="108">
        <f t="shared" si="4"/>
        <v>0.48559276858288236</v>
      </c>
      <c r="N70" s="108">
        <f t="shared" si="4"/>
        <v>0.51115028271882357</v>
      </c>
      <c r="O70" s="66">
        <f t="shared" si="5"/>
        <v>0.35631298023399471</v>
      </c>
      <c r="P70" s="91">
        <f>G70/('Sutherland, NE'!$C$2*INPUTS!$E$7)</f>
        <v>1.7903500825333065E-2</v>
      </c>
      <c r="Q70" s="140">
        <f t="shared" si="6"/>
        <v>0.38036741680194791</v>
      </c>
      <c r="R70" s="105">
        <f>F70/('Sutherland, NE'!$C$2*INPUTS!$E$6*1000000)</f>
        <v>0.2433447276650047</v>
      </c>
      <c r="V70" s="14"/>
    </row>
    <row r="71" spans="1:44">
      <c r="A71" s="48"/>
      <c r="C71" s="27" t="s">
        <v>42</v>
      </c>
      <c r="D71" s="27">
        <f>'Torrington, WY'!C2</f>
        <v>12</v>
      </c>
      <c r="E71" s="34">
        <f>'Torrington, WY'!O18</f>
        <v>13680094.641677462</v>
      </c>
      <c r="F71" s="54">
        <f>'Torrington, WY'!O20</f>
        <v>5159549.2981291218</v>
      </c>
      <c r="G71" s="34">
        <f t="shared" si="0"/>
        <v>12966.914352300912</v>
      </c>
      <c r="H71" s="62">
        <f t="shared" si="1"/>
        <v>17603.375292149853</v>
      </c>
      <c r="I71" s="63">
        <f t="shared" si="2"/>
        <v>64834.571761504558</v>
      </c>
      <c r="J71" s="64">
        <f t="shared" si="3"/>
        <v>345689.80297465116</v>
      </c>
      <c r="K71" s="108">
        <f>E71/'Torrington, WY'!$C$15</f>
        <v>0.42932086308203371</v>
      </c>
      <c r="L71" s="108">
        <f>E71/'Torrington, WY'!$D$15</f>
        <v>0.45191669798108813</v>
      </c>
      <c r="M71" s="108">
        <f t="shared" si="4"/>
        <v>0.47702318120225967</v>
      </c>
      <c r="N71" s="108">
        <f t="shared" si="4"/>
        <v>0.50212966442343121</v>
      </c>
      <c r="O71" s="66">
        <f t="shared" si="5"/>
        <v>0.39265976393676727</v>
      </c>
      <c r="P71" s="91">
        <f>G71/('Torrington, WY'!$C$2*INPUTS!$E$7)</f>
        <v>3.7261248138795722E-2</v>
      </c>
      <c r="Q71" s="140">
        <f t="shared" si="6"/>
        <v>0.79163091283888354</v>
      </c>
      <c r="R71" s="105">
        <f>F71/('Torrington, WY'!$C$2*INPUTS!$E$6*1000000)</f>
        <v>0.58103032636589225</v>
      </c>
      <c r="V71" s="14"/>
    </row>
    <row r="72" spans="1:44">
      <c r="A72" s="48"/>
      <c r="C72" s="27" t="s">
        <v>43</v>
      </c>
      <c r="D72" s="27">
        <f>'Burley, ID'!C2</f>
        <v>60</v>
      </c>
      <c r="E72" s="34">
        <f>'Burley, ID'!O18</f>
        <v>14896925.103322171</v>
      </c>
      <c r="F72" s="54">
        <f>'Burley, ID'!O20</f>
        <v>2691244.0145517252</v>
      </c>
      <c r="G72" s="34">
        <f t="shared" si="0"/>
        <v>14120.308154807744</v>
      </c>
      <c r="H72" s="62">
        <f t="shared" si="1"/>
        <v>9181.9993672866767</v>
      </c>
      <c r="I72" s="63">
        <f t="shared" si="2"/>
        <v>70601.540774038716</v>
      </c>
      <c r="J72" s="64">
        <f t="shared" si="3"/>
        <v>180313.3489749656</v>
      </c>
      <c r="K72" s="108">
        <f>E72/'Burley, ID'!$C$15</f>
        <v>0.44113157624037369</v>
      </c>
      <c r="L72" s="108">
        <f>E72/'Burley, ID'!$D$15</f>
        <v>0.46434902762144598</v>
      </c>
      <c r="M72" s="108">
        <f t="shared" si="4"/>
        <v>0.49014619582263741</v>
      </c>
      <c r="N72" s="108">
        <f t="shared" si="4"/>
        <v>0.5159433640238289</v>
      </c>
      <c r="O72" s="66">
        <f t="shared" si="5"/>
        <v>0.20481309090956812</v>
      </c>
      <c r="P72" s="91">
        <f>G72/('Burley, ID'!$C$2*INPUTS!$E$7)</f>
        <v>8.1151196291998524E-3</v>
      </c>
      <c r="Q72" s="140">
        <f t="shared" si="6"/>
        <v>0.17240913497933755</v>
      </c>
      <c r="R72" s="105">
        <f>F72/('Burley, ID'!$C$2*INPUTS!$E$6*1000000)</f>
        <v>6.0613603931345163E-2</v>
      </c>
      <c r="V72" s="14"/>
    </row>
    <row r="73" spans="1:44">
      <c r="A73" s="48"/>
      <c r="C73" s="27" t="s">
        <v>44</v>
      </c>
      <c r="D73" s="27">
        <f>'Yuma, CO'!C2</f>
        <v>50</v>
      </c>
      <c r="E73" s="34">
        <f>'Yuma, CO'!O18</f>
        <v>14962560.787821962</v>
      </c>
      <c r="F73" s="54">
        <f>'Yuma, CO'!O20</f>
        <v>4716361.3254260011</v>
      </c>
      <c r="G73" s="34">
        <f t="shared" si="0"/>
        <v>14182.522073764892</v>
      </c>
      <c r="H73" s="62">
        <f t="shared" si="1"/>
        <v>16091.304419740705</v>
      </c>
      <c r="I73" s="63">
        <f t="shared" si="2"/>
        <v>70912.610368824462</v>
      </c>
      <c r="J73" s="64">
        <f t="shared" si="3"/>
        <v>315996.20880354207</v>
      </c>
      <c r="K73" s="108">
        <f>E73/'Yuma, CO'!$C$15</f>
        <v>0.44742760562005551</v>
      </c>
      <c r="L73" s="108">
        <f>E73/'Yuma, CO'!$D$15</f>
        <v>0.47097642696847947</v>
      </c>
      <c r="M73" s="108">
        <f t="shared" si="4"/>
        <v>0.49714178402228387</v>
      </c>
      <c r="N73" s="108">
        <f t="shared" si="4"/>
        <v>0.52330714107608833</v>
      </c>
      <c r="O73" s="66">
        <f t="shared" si="5"/>
        <v>0.35893160771887378</v>
      </c>
      <c r="P73" s="91">
        <f>G73/('Yuma, CO'!$C$2*INPUTS!$E$7)</f>
        <v>9.7810497060447539E-3</v>
      </c>
      <c r="Q73" s="140">
        <f t="shared" si="6"/>
        <v>0.20780252122732443</v>
      </c>
      <c r="R73" s="105">
        <f>F73/('Yuma, CO'!$C$2*INPUTS!$E$6*1000000)</f>
        <v>0.12746922501151353</v>
      </c>
      <c r="V73" s="14"/>
    </row>
    <row r="74" spans="1:44">
      <c r="A74" s="48"/>
      <c r="C74" s="27" t="s">
        <v>45</v>
      </c>
      <c r="D74" s="27">
        <f>'Russell, KS'!C2</f>
        <v>48</v>
      </c>
      <c r="E74" s="34">
        <f>'Russell, KS'!O18</f>
        <v>15206168.266238699</v>
      </c>
      <c r="F74" s="54">
        <f>'Russell, KS'!O20</f>
        <v>6381153.8277611034</v>
      </c>
      <c r="G74" s="34">
        <f t="shared" si="0"/>
        <v>14413.429636245211</v>
      </c>
      <c r="H74" s="62">
        <f t="shared" si="1"/>
        <v>21771.251544732524</v>
      </c>
      <c r="I74" s="63">
        <f t="shared" si="2"/>
        <v>72067.148181226061</v>
      </c>
      <c r="J74" s="64">
        <f t="shared" si="3"/>
        <v>427537.30645999394</v>
      </c>
      <c r="K74" s="108">
        <f>E74/'Russell, KS'!$C$15</f>
        <v>0.46569120250387253</v>
      </c>
      <c r="L74" s="108">
        <f>E74/'Russell, KS'!$D$15</f>
        <v>0.49020126579355</v>
      </c>
      <c r="M74" s="108">
        <f t="shared" si="4"/>
        <v>0.51743466944874728</v>
      </c>
      <c r="N74" s="108">
        <f t="shared" si="4"/>
        <v>0.54466807310394438</v>
      </c>
      <c r="O74" s="66">
        <f t="shared" si="5"/>
        <v>0.48562814518729858</v>
      </c>
      <c r="P74" s="91">
        <f>G74/('Russell, KS'!$C$2*INPUTS!$E$7)</f>
        <v>1.0354475313394548E-2</v>
      </c>
      <c r="Q74" s="140">
        <f t="shared" si="6"/>
        <v>0.21998518980838236</v>
      </c>
      <c r="R74" s="105">
        <f>F74/('Russell, KS'!$C$2*INPUTS!$E$6*1000000)</f>
        <v>0.17964960100678787</v>
      </c>
      <c r="V74" s="14"/>
    </row>
    <row r="75" spans="1:44">
      <c r="A75" s="48"/>
      <c r="C75" s="27" t="s">
        <v>46</v>
      </c>
      <c r="D75" s="27">
        <f>'Arkalon, KS'!C2</f>
        <v>110</v>
      </c>
      <c r="E75" s="34">
        <f>'Arkalon, KS'!O18</f>
        <v>16149448.154539261</v>
      </c>
      <c r="F75" s="54">
        <f>'Arkalon, KS'!O20</f>
        <v>7551268.1644681795</v>
      </c>
      <c r="G75" s="34">
        <f t="shared" si="0"/>
        <v>15307.533795771811</v>
      </c>
      <c r="H75" s="62">
        <f t="shared" si="1"/>
        <v>25763.453307636231</v>
      </c>
      <c r="I75" s="63">
        <f t="shared" si="2"/>
        <v>76537.668978859059</v>
      </c>
      <c r="J75" s="64">
        <f t="shared" si="3"/>
        <v>505934.96701936808</v>
      </c>
      <c r="K75" s="108">
        <f>E75/'Arkalon, KS'!$C$15</f>
        <v>0.47270366919972079</v>
      </c>
      <c r="L75" s="108">
        <f>E75/'Arkalon, KS'!$D$15</f>
        <v>0.4975828096839166</v>
      </c>
      <c r="M75" s="108">
        <f t="shared" si="4"/>
        <v>0.52522629911080088</v>
      </c>
      <c r="N75" s="108">
        <f t="shared" si="4"/>
        <v>0.55286978853768509</v>
      </c>
      <c r="O75" s="66">
        <f t="shared" si="5"/>
        <v>0.57467794250138349</v>
      </c>
      <c r="P75" s="91">
        <f>G75/('Arkalon, KS'!$C$2*INPUTS!$E$7)</f>
        <v>4.7985999359786242E-3</v>
      </c>
      <c r="Q75" s="140">
        <f t="shared" si="6"/>
        <v>0.10194827702811729</v>
      </c>
      <c r="R75" s="105">
        <f>F75/('Arkalon, KS'!$C$2*INPUTS!$E$6*1000000)</f>
        <v>9.2767422167913755E-2</v>
      </c>
      <c r="V75" s="14"/>
    </row>
    <row r="76" spans="1:44">
      <c r="A76" s="48"/>
      <c r="C76" s="27" t="s">
        <v>47</v>
      </c>
      <c r="D76" s="27">
        <f>'Plainview, TX'!C2</f>
        <v>110</v>
      </c>
      <c r="E76" s="34">
        <f>'Plainview, TX'!O18</f>
        <v>17945669.309738938</v>
      </c>
      <c r="F76" s="54">
        <f>'Plainview, TX'!O20</f>
        <v>6649270.8192681605</v>
      </c>
      <c r="G76" s="34">
        <f t="shared" si="0"/>
        <v>17010.113089799943</v>
      </c>
      <c r="H76" s="62">
        <f t="shared" si="1"/>
        <v>22686.014395319551</v>
      </c>
      <c r="I76" s="63">
        <f t="shared" si="2"/>
        <v>85050.56544899971</v>
      </c>
      <c r="J76" s="64">
        <f t="shared" si="3"/>
        <v>445501.14489096677</v>
      </c>
      <c r="K76" s="108">
        <f>E76/'Plainview, TX'!$C$15</f>
        <v>0.49662845744399992</v>
      </c>
      <c r="L76" s="108">
        <f>E76/'Plainview, TX'!$D$15</f>
        <v>0.52276679730947362</v>
      </c>
      <c r="M76" s="108">
        <f t="shared" si="4"/>
        <v>0.55180939715999988</v>
      </c>
      <c r="N76" s="108">
        <f t="shared" si="4"/>
        <v>0.58085199701052626</v>
      </c>
      <c r="O76" s="66">
        <f t="shared" si="5"/>
        <v>0.50603278685450237</v>
      </c>
      <c r="P76" s="91">
        <f>G76/('Plainview, TX'!$C$2*INPUTS!$E$7)</f>
        <v>5.3323238526018632E-3</v>
      </c>
      <c r="Q76" s="140">
        <f t="shared" si="6"/>
        <v>0.11328746646553409</v>
      </c>
      <c r="R76" s="105">
        <f>F76/('Plainview, TX'!$C$2*INPUTS!$E$6*1000000)</f>
        <v>8.1686373701083059E-2</v>
      </c>
      <c r="V76" s="14"/>
    </row>
    <row r="77" spans="1:44">
      <c r="A77" s="48"/>
      <c r="C77" s="27" t="s">
        <v>48</v>
      </c>
      <c r="D77" s="27">
        <f>'Imperial Valley, CA'!C2</f>
        <v>66</v>
      </c>
      <c r="E77" s="34">
        <f>'Imperial Valley, CA'!O18</f>
        <v>20557109.778425999</v>
      </c>
      <c r="F77" s="54">
        <f>'Imperial Valley, CA'!O20</f>
        <v>2455558.6039555245</v>
      </c>
      <c r="G77" s="34">
        <f t="shared" si="0"/>
        <v>19485.412112252132</v>
      </c>
      <c r="H77" s="62">
        <f t="shared" si="1"/>
        <v>8377.8867415746317</v>
      </c>
      <c r="I77" s="63">
        <f t="shared" si="2"/>
        <v>97427.06056126066</v>
      </c>
      <c r="J77" s="64">
        <f t="shared" si="3"/>
        <v>164522.42646502017</v>
      </c>
      <c r="K77" s="108">
        <f>E77/'Imperial Valley, CA'!$C$15</f>
        <v>0.54606213600946696</v>
      </c>
      <c r="L77" s="108">
        <f>E77/'Imperial Valley, CA'!$D$15</f>
        <v>0.5748022484310179</v>
      </c>
      <c r="M77" s="108">
        <f t="shared" si="4"/>
        <v>0.60673570667718546</v>
      </c>
      <c r="N77" s="108">
        <f t="shared" si="4"/>
        <v>0.63866916492335324</v>
      </c>
      <c r="O77" s="66">
        <f t="shared" si="5"/>
        <v>0.18687660608489531</v>
      </c>
      <c r="P77" s="91">
        <f>G77/('Imperial Valley, CA'!$C$2*INPUTS!$E$7)</f>
        <v>1.0180466098355346E-2</v>
      </c>
      <c r="Q77" s="140">
        <f t="shared" si="6"/>
        <v>0.2162882907342894</v>
      </c>
      <c r="R77" s="105">
        <f>F77/('Imperial Valley, CA'!$C$2*INPUTS!$E$6*1000000)</f>
        <v>5.0277612693602057E-2</v>
      </c>
      <c r="V77" s="14"/>
    </row>
    <row r="78" spans="1:44">
      <c r="A78" s="48"/>
      <c r="C78" s="27" t="s">
        <v>49</v>
      </c>
      <c r="D78" s="27">
        <f>'Stockton, CA'!C2</f>
        <v>60</v>
      </c>
      <c r="E78" s="34">
        <f>'Stockton, CA'!O18</f>
        <v>18955449.890006226</v>
      </c>
      <c r="F78" s="54">
        <f>'Stockton, CA'!O20</f>
        <v>2351571.1165422844</v>
      </c>
      <c r="G78" s="34">
        <f t="shared" si="0"/>
        <v>17967.251080574621</v>
      </c>
      <c r="H78" s="62">
        <f t="shared" si="1"/>
        <v>8023.1017282234197</v>
      </c>
      <c r="I78" s="63">
        <f t="shared" si="2"/>
        <v>89836.255402873096</v>
      </c>
      <c r="J78" s="64">
        <f t="shared" si="3"/>
        <v>157555.26480833307</v>
      </c>
      <c r="K78" s="108">
        <f>E78/'Stockton, CA'!$C$15</f>
        <v>0.51064640535569905</v>
      </c>
      <c r="L78" s="108">
        <f>E78/'Stockton, CA'!$D$15</f>
        <v>0.53752253195336741</v>
      </c>
      <c r="M78" s="108">
        <f t="shared" si="4"/>
        <v>0.56738489483966559</v>
      </c>
      <c r="N78" s="108">
        <f t="shared" si="4"/>
        <v>0.59724725772596376</v>
      </c>
      <c r="O78" s="66">
        <f t="shared" si="5"/>
        <v>0.17896279425740369</v>
      </c>
      <c r="P78" s="91">
        <f>G78/('Stockton, CA'!$C$2*INPUTS!$E$7)</f>
        <v>1.0326006368146333E-2</v>
      </c>
      <c r="Q78" s="140">
        <f t="shared" si="6"/>
        <v>0.2193803550741712</v>
      </c>
      <c r="R78" s="105">
        <f>F78/('Stockton, CA'!$C$2*INPUTS!$E$6*1000000)</f>
        <v>5.2963313435637038E-2</v>
      </c>
      <c r="V78" s="14"/>
    </row>
    <row r="79" spans="1:44" s="14" customFormat="1">
      <c r="A79" s="48"/>
      <c r="C79" s="13" t="s">
        <v>50</v>
      </c>
      <c r="D79" s="118">
        <f>'Maricopa, AZ'!C2</f>
        <v>50</v>
      </c>
      <c r="E79" s="34">
        <f>'Maricopa, AZ'!O18</f>
        <v>20844333.944553599</v>
      </c>
      <c r="F79" s="54">
        <f>'Maricopa, AZ'!O20</f>
        <v>3118124.8028449686</v>
      </c>
      <c r="G79" s="34">
        <f t="shared" si="0"/>
        <v>19757.662506685876</v>
      </c>
      <c r="H79" s="62">
        <f t="shared" si="1"/>
        <v>10638.433308921762</v>
      </c>
      <c r="I79" s="63">
        <f t="shared" si="2"/>
        <v>98788.312533429387</v>
      </c>
      <c r="J79" s="64">
        <f t="shared" si="3"/>
        <v>208914.36179061292</v>
      </c>
      <c r="K79" s="108">
        <f>E79/'Maricopa, AZ'!$C$15</f>
        <v>0.54048612750003489</v>
      </c>
      <c r="L79" s="108">
        <f>E79/'Maricopa, AZ'!$D$15</f>
        <v>0.56893276578951035</v>
      </c>
      <c r="M79" s="108">
        <f t="shared" si="4"/>
        <v>0.60054014166670544</v>
      </c>
      <c r="N79" s="108">
        <f t="shared" si="4"/>
        <v>0.63214751754390042</v>
      </c>
      <c r="O79" s="66">
        <f t="shared" si="5"/>
        <v>0.23730021330631421</v>
      </c>
      <c r="P79" s="91">
        <f>G79/('Maricopa, AZ'!$C$2*INPUTS!$E$7)</f>
        <v>1.3625974142541984E-2</v>
      </c>
      <c r="Q79" s="140">
        <f t="shared" si="6"/>
        <v>0.28948956053752201</v>
      </c>
      <c r="R79" s="105">
        <f>F79/('Maricopa, AZ'!$C$2*INPUTS!$E$6*1000000)</f>
        <v>8.4273643320134289E-2</v>
      </c>
      <c r="U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</row>
    <row r="80" spans="1:44">
      <c r="A80" s="48"/>
      <c r="F80" s="146"/>
      <c r="O80" s="148"/>
    </row>
    <row r="81" spans="1:39">
      <c r="A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</row>
    <row r="82" spans="1:39" ht="46" customHeight="1">
      <c r="A82" s="48"/>
      <c r="C82" s="112" t="s">
        <v>119</v>
      </c>
      <c r="D82" s="99" t="s">
        <v>157</v>
      </c>
      <c r="E82" s="98">
        <f>E40*E38*E41</f>
        <v>1100000</v>
      </c>
      <c r="F82" s="99" t="s">
        <v>158</v>
      </c>
      <c r="G82" s="98">
        <f>E28*E26</f>
        <v>2700000</v>
      </c>
      <c r="H82" s="14"/>
      <c r="I82" s="14"/>
      <c r="J82" s="14"/>
      <c r="K82" s="14"/>
      <c r="L82" s="14"/>
      <c r="M82" s="14"/>
      <c r="N82" s="14"/>
      <c r="O82" s="14"/>
      <c r="P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</row>
    <row r="83" spans="1:39" ht="63">
      <c r="A83" s="48"/>
      <c r="C83" s="113" t="s">
        <v>112</v>
      </c>
      <c r="D83" s="97" t="s">
        <v>155</v>
      </c>
      <c r="E83" s="97" t="s">
        <v>156</v>
      </c>
    </row>
    <row r="84" spans="1:39">
      <c r="A84" s="48"/>
      <c r="C84" s="88" t="str">
        <f>C60</f>
        <v>Town, USA</v>
      </c>
      <c r="D84" s="46">
        <f t="shared" ref="D84:D103" si="7">($E$40*$E$38*$E$41)/(G60*$E$20)</f>
        <v>12.371359685520755</v>
      </c>
      <c r="E84" s="46">
        <f t="shared" ref="E84:E103" si="8">$G$82/(F60*$E$22)</f>
        <v>6.6836542814281863</v>
      </c>
      <c r="P84" s="14"/>
      <c r="Q84"/>
    </row>
    <row r="85" spans="1:39">
      <c r="A85" s="48"/>
      <c r="C85" s="89" t="str">
        <f>C61</f>
        <v>City, USA</v>
      </c>
      <c r="D85" s="46">
        <f t="shared" si="7"/>
        <v>21.202665426260491</v>
      </c>
      <c r="E85" s="46">
        <f t="shared" si="8"/>
        <v>6.6319881317248415</v>
      </c>
      <c r="P85" s="14"/>
      <c r="Q85"/>
    </row>
    <row r="86" spans="1:39">
      <c r="A86" s="48"/>
      <c r="C86" s="13" t="s">
        <v>34</v>
      </c>
      <c r="D86" s="46">
        <f t="shared" si="7"/>
        <v>19.176283601598758</v>
      </c>
      <c r="E86" s="46">
        <f t="shared" si="8"/>
        <v>9.4704200111389056</v>
      </c>
      <c r="P86" s="14"/>
      <c r="Q86"/>
    </row>
    <row r="87" spans="1:39">
      <c r="A87" s="48"/>
      <c r="C87" s="27" t="s">
        <v>35</v>
      </c>
      <c r="D87" s="46">
        <f t="shared" si="7"/>
        <v>18.571745738411536</v>
      </c>
      <c r="E87" s="46">
        <f t="shared" si="8"/>
        <v>9.524104410658417</v>
      </c>
      <c r="P87" s="14"/>
      <c r="Q87"/>
    </row>
    <row r="88" spans="1:39">
      <c r="A88" s="48"/>
      <c r="C88" s="4" t="s">
        <v>36</v>
      </c>
      <c r="D88" s="46">
        <f t="shared" si="7"/>
        <v>19.996261325763683</v>
      </c>
      <c r="E88" s="46">
        <f t="shared" si="8"/>
        <v>10.664953270291237</v>
      </c>
      <c r="P88" s="14"/>
      <c r="Q88"/>
    </row>
    <row r="89" spans="1:39">
      <c r="A89" s="48"/>
      <c r="C89" s="28" t="s">
        <v>37</v>
      </c>
      <c r="D89" s="46">
        <f t="shared" si="7"/>
        <v>20.44104992132624</v>
      </c>
      <c r="E89" s="46">
        <f t="shared" si="8"/>
        <v>11.533550447199927</v>
      </c>
      <c r="P89" s="14"/>
      <c r="Q89"/>
    </row>
    <row r="90" spans="1:39">
      <c r="A90" s="48"/>
      <c r="C90" s="27" t="s">
        <v>38</v>
      </c>
      <c r="D90" s="46">
        <f t="shared" si="7"/>
        <v>19.30648843068278</v>
      </c>
      <c r="E90" s="46">
        <f t="shared" si="8"/>
        <v>7.1915348343728853</v>
      </c>
      <c r="P90" s="14"/>
      <c r="Q90"/>
    </row>
    <row r="91" spans="1:39">
      <c r="A91" s="48"/>
      <c r="C91" s="27" t="s">
        <v>39</v>
      </c>
      <c r="D91" s="46">
        <f t="shared" si="7"/>
        <v>20.765450479826594</v>
      </c>
      <c r="E91" s="46">
        <f t="shared" si="8"/>
        <v>7.354855772888663</v>
      </c>
      <c r="P91" s="14"/>
      <c r="Q91"/>
    </row>
    <row r="92" spans="1:39">
      <c r="A92" s="48"/>
      <c r="C92" s="27" t="s">
        <v>99</v>
      </c>
      <c r="D92" s="46">
        <f t="shared" si="7"/>
        <v>19.21954362914294</v>
      </c>
      <c r="E92" s="46">
        <f t="shared" si="8"/>
        <v>9.7623890451476054</v>
      </c>
      <c r="P92" s="14"/>
      <c r="Q92"/>
    </row>
    <row r="93" spans="1:39">
      <c r="A93" s="48"/>
      <c r="C93" s="27" t="s">
        <v>40</v>
      </c>
      <c r="D93" s="46">
        <f t="shared" si="7"/>
        <v>17.067603245740337</v>
      </c>
      <c r="E93" s="46">
        <f t="shared" si="8"/>
        <v>10.358708938562978</v>
      </c>
      <c r="P93" s="14"/>
      <c r="Q93"/>
    </row>
    <row r="94" spans="1:39">
      <c r="A94" s="48"/>
      <c r="C94" s="27" t="s">
        <v>41</v>
      </c>
      <c r="D94" s="46">
        <f t="shared" si="7"/>
        <v>16.297214225055587</v>
      </c>
      <c r="E94" s="46">
        <f t="shared" si="8"/>
        <v>8.6072011503513082</v>
      </c>
      <c r="P94" s="14"/>
      <c r="Q94"/>
    </row>
    <row r="95" spans="1:39">
      <c r="A95" s="48"/>
      <c r="C95" s="27" t="s">
        <v>42</v>
      </c>
      <c r="D95" s="46">
        <f t="shared" si="7"/>
        <v>16.966256892177448</v>
      </c>
      <c r="E95" s="46">
        <f t="shared" si="8"/>
        <v>7.8104704760353787</v>
      </c>
      <c r="P95" s="14"/>
      <c r="Q95"/>
    </row>
    <row r="96" spans="1:39">
      <c r="A96" s="48"/>
      <c r="C96" s="27" t="s">
        <v>43</v>
      </c>
      <c r="D96" s="46">
        <f t="shared" si="7"/>
        <v>15.580396517415483</v>
      </c>
      <c r="E96" s="46">
        <f t="shared" si="8"/>
        <v>14.973932963636893</v>
      </c>
      <c r="P96" s="14"/>
      <c r="Q96"/>
    </row>
    <row r="97" spans="1:34">
      <c r="A97" s="48"/>
      <c r="C97" s="27" t="s">
        <v>44</v>
      </c>
      <c r="D97" s="46">
        <f t="shared" si="7"/>
        <v>15.512050596907606</v>
      </c>
      <c r="E97" s="46">
        <f t="shared" si="8"/>
        <v>8.5444063086168747</v>
      </c>
      <c r="P97" s="14"/>
      <c r="Q97"/>
    </row>
    <row r="98" spans="1:34">
      <c r="A98" s="48"/>
      <c r="C98" s="27" t="s">
        <v>45</v>
      </c>
      <c r="D98" s="46">
        <f t="shared" si="7"/>
        <v>15.263542789758356</v>
      </c>
      <c r="E98" s="46">
        <f t="shared" si="8"/>
        <v>6.3152383644739265</v>
      </c>
      <c r="P98" s="14"/>
      <c r="Q98"/>
    </row>
    <row r="99" spans="1:34">
      <c r="A99" s="48"/>
      <c r="C99" s="27" t="s">
        <v>46</v>
      </c>
      <c r="D99" s="46">
        <f t="shared" si="7"/>
        <v>14.372008119346276</v>
      </c>
      <c r="E99" s="46">
        <f t="shared" si="8"/>
        <v>5.3366542658765059</v>
      </c>
      <c r="P99" s="14"/>
      <c r="Q99"/>
    </row>
    <row r="100" spans="1:34">
      <c r="A100" s="48"/>
      <c r="C100" s="27" t="s">
        <v>47</v>
      </c>
      <c r="D100" s="46">
        <f t="shared" si="7"/>
        <v>12.933482501766685</v>
      </c>
      <c r="E100" s="46">
        <f t="shared" si="8"/>
        <v>6.0605904854875421</v>
      </c>
      <c r="P100" s="14"/>
      <c r="Q100"/>
    </row>
    <row r="101" spans="1:34">
      <c r="A101" s="48"/>
      <c r="C101" s="27" t="s">
        <v>48</v>
      </c>
      <c r="D101" s="46">
        <f t="shared" si="7"/>
        <v>11.290497667312222</v>
      </c>
      <c r="E101" s="46">
        <f t="shared" si="8"/>
        <v>16.411136511982207</v>
      </c>
      <c r="P101" s="14"/>
      <c r="Q101"/>
    </row>
    <row r="102" spans="1:34">
      <c r="A102" s="48"/>
      <c r="C102" s="27" t="s">
        <v>49</v>
      </c>
      <c r="D102" s="46">
        <f t="shared" si="7"/>
        <v>12.244499674068342</v>
      </c>
      <c r="E102" s="46">
        <f t="shared" si="8"/>
        <v>17.136844035548837</v>
      </c>
      <c r="P102" s="14"/>
      <c r="Q102"/>
    </row>
    <row r="103" spans="1:34">
      <c r="A103" s="48"/>
      <c r="C103" s="13" t="s">
        <v>50</v>
      </c>
      <c r="D103" s="46">
        <f t="shared" si="7"/>
        <v>11.134920435327473</v>
      </c>
      <c r="E103" s="46">
        <f t="shared" si="8"/>
        <v>12.923955906421165</v>
      </c>
      <c r="P103" s="14"/>
      <c r="Q103"/>
    </row>
    <row r="104" spans="1:34" ht="20">
      <c r="A104" s="48"/>
      <c r="C104" s="182" t="s">
        <v>107</v>
      </c>
      <c r="D104" s="182"/>
      <c r="E104" s="182"/>
      <c r="F104" s="182"/>
      <c r="P104" s="14"/>
      <c r="Q104"/>
    </row>
    <row r="105" spans="1:34" ht="20">
      <c r="A105" s="48"/>
      <c r="C105" s="157" t="s">
        <v>106</v>
      </c>
      <c r="D105" s="157"/>
      <c r="E105" s="157"/>
      <c r="F105" s="157"/>
      <c r="H105" s="94"/>
      <c r="P105" s="14"/>
      <c r="Q105"/>
    </row>
    <row r="106" spans="1:34" ht="16">
      <c r="A106" s="48"/>
      <c r="C106" s="50" t="s">
        <v>68</v>
      </c>
      <c r="D106" s="84">
        <f>E20</f>
        <v>5</v>
      </c>
      <c r="E106" s="84">
        <f>D106</f>
        <v>5</v>
      </c>
      <c r="F106" s="84">
        <f>E106+E106*$E$21</f>
        <v>5.165</v>
      </c>
      <c r="G106" s="84">
        <f t="shared" ref="G106:AH106" si="9">F106+F106*$E$21</f>
        <v>5.335445</v>
      </c>
      <c r="H106" s="84">
        <f t="shared" si="9"/>
        <v>5.5115146849999999</v>
      </c>
      <c r="I106" s="84">
        <f t="shared" si="9"/>
        <v>5.6933946696049995</v>
      </c>
      <c r="J106" s="84">
        <f t="shared" si="9"/>
        <v>5.8812766937019649</v>
      </c>
      <c r="K106" s="84">
        <f t="shared" si="9"/>
        <v>6.0753588245941295</v>
      </c>
      <c r="L106" s="84">
        <f t="shared" si="9"/>
        <v>6.2758456658057353</v>
      </c>
      <c r="M106" s="84">
        <f t="shared" si="9"/>
        <v>6.4829485727773246</v>
      </c>
      <c r="N106" s="84">
        <f t="shared" si="9"/>
        <v>6.6968858756789764</v>
      </c>
      <c r="O106" s="84">
        <f t="shared" si="9"/>
        <v>6.9178831095763824</v>
      </c>
      <c r="P106" s="84">
        <f t="shared" si="9"/>
        <v>7.1461732521924031</v>
      </c>
      <c r="Q106" s="84">
        <f t="shared" si="9"/>
        <v>7.381996969514752</v>
      </c>
      <c r="R106" s="84">
        <f t="shared" si="9"/>
        <v>7.6256028695087386</v>
      </c>
      <c r="S106" s="84">
        <f t="shared" si="9"/>
        <v>7.8772477642025267</v>
      </c>
      <c r="T106" s="84">
        <f t="shared" si="9"/>
        <v>8.1371969404212106</v>
      </c>
      <c r="U106" s="84">
        <f t="shared" si="9"/>
        <v>8.4057244394551098</v>
      </c>
      <c r="V106" s="84">
        <f t="shared" si="9"/>
        <v>8.6831133459571284</v>
      </c>
      <c r="W106" s="84">
        <f t="shared" si="9"/>
        <v>8.969656086373714</v>
      </c>
      <c r="X106" s="84">
        <f t="shared" si="9"/>
        <v>9.2656547372240468</v>
      </c>
      <c r="Y106" s="84">
        <f t="shared" si="9"/>
        <v>9.5714213435524407</v>
      </c>
      <c r="Z106" s="84">
        <f t="shared" si="9"/>
        <v>9.8872782478896717</v>
      </c>
      <c r="AA106" s="84">
        <f t="shared" si="9"/>
        <v>10.21355843007003</v>
      </c>
      <c r="AB106" s="84">
        <f t="shared" si="9"/>
        <v>10.55060585826234</v>
      </c>
      <c r="AC106" s="84">
        <f t="shared" si="9"/>
        <v>10.898775851584997</v>
      </c>
      <c r="AD106" s="84">
        <f t="shared" si="9"/>
        <v>11.258435454687302</v>
      </c>
      <c r="AE106" s="84">
        <f t="shared" si="9"/>
        <v>11.629963824691982</v>
      </c>
      <c r="AF106" s="84">
        <f t="shared" si="9"/>
        <v>12.013752630906819</v>
      </c>
      <c r="AG106" s="84">
        <f t="shared" si="9"/>
        <v>12.410206467726743</v>
      </c>
      <c r="AH106" s="84">
        <f t="shared" si="9"/>
        <v>12.819743281161726</v>
      </c>
    </row>
    <row r="107" spans="1:34">
      <c r="A107" s="48"/>
      <c r="C107" t="s">
        <v>110</v>
      </c>
      <c r="D107">
        <v>0</v>
      </c>
      <c r="E107">
        <v>1</v>
      </c>
      <c r="F107">
        <v>2</v>
      </c>
      <c r="G107">
        <v>3</v>
      </c>
      <c r="H107">
        <v>4</v>
      </c>
      <c r="I107">
        <v>5</v>
      </c>
      <c r="J107">
        <v>6</v>
      </c>
      <c r="K107">
        <v>7</v>
      </c>
      <c r="L107">
        <v>8</v>
      </c>
      <c r="M107">
        <v>9</v>
      </c>
      <c r="N107">
        <v>10</v>
      </c>
      <c r="O107">
        <v>11</v>
      </c>
      <c r="P107" s="14">
        <v>12</v>
      </c>
      <c r="Q107">
        <v>13</v>
      </c>
      <c r="R107">
        <v>14</v>
      </c>
      <c r="S107">
        <v>15</v>
      </c>
      <c r="T107">
        <v>16</v>
      </c>
      <c r="U107">
        <v>17</v>
      </c>
      <c r="V107">
        <v>18</v>
      </c>
      <c r="W107">
        <v>19</v>
      </c>
      <c r="X107">
        <v>20</v>
      </c>
      <c r="Y107">
        <v>21</v>
      </c>
      <c r="Z107">
        <v>22</v>
      </c>
      <c r="AA107">
        <v>23</v>
      </c>
      <c r="AB107">
        <v>24</v>
      </c>
      <c r="AC107">
        <v>25</v>
      </c>
      <c r="AD107">
        <v>26</v>
      </c>
      <c r="AE107">
        <v>27</v>
      </c>
      <c r="AF107">
        <v>28</v>
      </c>
      <c r="AG107">
        <v>29</v>
      </c>
      <c r="AH107">
        <v>30</v>
      </c>
    </row>
    <row r="108" spans="1:34">
      <c r="A108" s="48"/>
      <c r="C108" s="87" t="str">
        <f>C60</f>
        <v>Town, USA</v>
      </c>
      <c r="D108" s="95">
        <f t="shared" ref="D108:D127" si="10">-$E$82</f>
        <v>-1100000</v>
      </c>
      <c r="E108" s="95">
        <f t="shared" ref="E108:AH108" si="11">D108+E$106*$G60</f>
        <v>-1011084.9552545608</v>
      </c>
      <c r="F108" s="95">
        <f t="shared" si="11"/>
        <v>-919235.71403252217</v>
      </c>
      <c r="G108" s="95">
        <f t="shared" si="11"/>
        <v>-824355.44785015623</v>
      </c>
      <c r="H108" s="95">
        <f t="shared" si="11"/>
        <v>-726344.13288377225</v>
      </c>
      <c r="I108" s="95">
        <f t="shared" si="11"/>
        <v>-625098.4445234976</v>
      </c>
      <c r="J108" s="95">
        <f t="shared" si="11"/>
        <v>-520511.64844733384</v>
      </c>
      <c r="K108" s="95">
        <f t="shared" si="11"/>
        <v>-412473.48810065672</v>
      </c>
      <c r="L108" s="95">
        <f t="shared" si="11"/>
        <v>-300870.06846253923</v>
      </c>
      <c r="M108" s="95">
        <f t="shared" si="11"/>
        <v>-185583.73597636388</v>
      </c>
      <c r="N108" s="95">
        <f t="shared" si="11"/>
        <v>-66492.954518144747</v>
      </c>
      <c r="O108" s="95">
        <f t="shared" si="11"/>
        <v>56527.822728195606</v>
      </c>
      <c r="P108" s="95">
        <f t="shared" si="11"/>
        <v>183608.2856236652</v>
      </c>
      <c r="Q108" s="95">
        <f t="shared" si="11"/>
        <v>314882.40379468526</v>
      </c>
      <c r="R108" s="95">
        <f t="shared" si="11"/>
        <v>450488.567865349</v>
      </c>
      <c r="S108" s="95">
        <f t="shared" si="11"/>
        <v>590569.73535034468</v>
      </c>
      <c r="T108" s="95">
        <f t="shared" si="11"/>
        <v>735273.58136234526</v>
      </c>
      <c r="U108" s="95">
        <f t="shared" si="11"/>
        <v>884752.65429274179</v>
      </c>
      <c r="V108" s="95">
        <f t="shared" si="11"/>
        <v>1039164.5366298414</v>
      </c>
      <c r="W108" s="95">
        <f t="shared" si="11"/>
        <v>1198672.0110840653</v>
      </c>
      <c r="X108" s="96">
        <f t="shared" si="11"/>
        <v>1363443.2321952786</v>
      </c>
      <c r="Y108" s="95">
        <f t="shared" si="11"/>
        <v>1533651.9036031619</v>
      </c>
      <c r="Z108" s="95">
        <f t="shared" si="11"/>
        <v>1709477.4611675055</v>
      </c>
      <c r="AA108" s="95">
        <f t="shared" si="11"/>
        <v>1891105.2621314724</v>
      </c>
      <c r="AB108" s="95">
        <f t="shared" si="11"/>
        <v>2078726.7805272501</v>
      </c>
      <c r="AC108" s="96">
        <f t="shared" si="11"/>
        <v>2272539.8090300886</v>
      </c>
      <c r="AD108" s="95">
        <f t="shared" si="11"/>
        <v>2472748.6674735206</v>
      </c>
      <c r="AE108" s="95">
        <f t="shared" si="11"/>
        <v>2679564.4182455856</v>
      </c>
      <c r="AF108" s="95">
        <f t="shared" si="11"/>
        <v>2893205.0887931292</v>
      </c>
      <c r="AG108" s="95">
        <f t="shared" si="11"/>
        <v>3113895.9014687417</v>
      </c>
      <c r="AH108" s="96">
        <f t="shared" si="11"/>
        <v>3341869.5109626492</v>
      </c>
    </row>
    <row r="109" spans="1:34">
      <c r="A109" s="48"/>
      <c r="C109" s="89" t="str">
        <f>C61</f>
        <v>City, USA</v>
      </c>
      <c r="D109" s="95">
        <f>-$E$82</f>
        <v>-1100000</v>
      </c>
      <c r="E109" s="95">
        <f t="shared" ref="E109:AH109" si="12">D109+E$106*$G61</f>
        <v>-1048119.7303317535</v>
      </c>
      <c r="F109" s="95">
        <f t="shared" si="12"/>
        <v>-994527.41176445491</v>
      </c>
      <c r="G109" s="95">
        <f t="shared" si="12"/>
        <v>-939166.54668443545</v>
      </c>
      <c r="H109" s="95">
        <f t="shared" si="12"/>
        <v>-881978.77305677533</v>
      </c>
      <c r="I109" s="95">
        <f t="shared" si="12"/>
        <v>-822903.80289940245</v>
      </c>
      <c r="J109" s="95">
        <f t="shared" si="12"/>
        <v>-761879.35872683628</v>
      </c>
      <c r="K109" s="95">
        <f t="shared" si="12"/>
        <v>-698841.10789657547</v>
      </c>
      <c r="L109" s="95">
        <f t="shared" si="12"/>
        <v>-633722.59478891606</v>
      </c>
      <c r="M109" s="95">
        <f t="shared" si="12"/>
        <v>-566455.17074870388</v>
      </c>
      <c r="N109" s="95">
        <f t="shared" si="12"/>
        <v>-496967.92171516467</v>
      </c>
      <c r="O109" s="95">
        <f t="shared" si="12"/>
        <v>-425187.59346351866</v>
      </c>
      <c r="P109" s="95">
        <f t="shared" si="12"/>
        <v>-351038.51437956834</v>
      </c>
      <c r="Q109" s="95">
        <f t="shared" si="12"/>
        <v>-274442.51568584767</v>
      </c>
      <c r="R109" s="95">
        <f t="shared" si="12"/>
        <v>-195318.84903523419</v>
      </c>
      <c r="S109" s="95">
        <f t="shared" si="12"/>
        <v>-113584.10138515048</v>
      </c>
      <c r="T109" s="95">
        <f t="shared" si="12"/>
        <v>-29152.107062613999</v>
      </c>
      <c r="U109" s="95">
        <f t="shared" si="12"/>
        <v>58066.143072566178</v>
      </c>
      <c r="V109" s="95">
        <f t="shared" si="12"/>
        <v>148162.5954622073</v>
      </c>
      <c r="W109" s="95">
        <f t="shared" si="12"/>
        <v>241232.23078070657</v>
      </c>
      <c r="X109" s="96">
        <f t="shared" si="12"/>
        <v>337373.16406471631</v>
      </c>
      <c r="Y109" s="95">
        <f t="shared" si="12"/>
        <v>436686.74814709841</v>
      </c>
      <c r="Z109" s="95">
        <f t="shared" si="12"/>
        <v>539277.68050419912</v>
      </c>
      <c r="AA109" s="95">
        <f t="shared" si="12"/>
        <v>645254.11362908408</v>
      </c>
      <c r="AB109" s="95">
        <f t="shared" si="12"/>
        <v>754727.76904709032</v>
      </c>
      <c r="AC109" s="96">
        <f t="shared" si="12"/>
        <v>867814.05509389075</v>
      </c>
      <c r="AD109" s="95">
        <f t="shared" si="12"/>
        <v>984632.18858023558</v>
      </c>
      <c r="AE109" s="95">
        <f t="shared" si="12"/>
        <v>1105305.3204716297</v>
      </c>
      <c r="AF109" s="95">
        <f t="shared" si="12"/>
        <v>1229960.6657154399</v>
      </c>
      <c r="AG109" s="95">
        <f t="shared" si="12"/>
        <v>1358729.6373522959</v>
      </c>
      <c r="AH109" s="96">
        <f t="shared" si="12"/>
        <v>1491747.9850531681</v>
      </c>
    </row>
    <row r="110" spans="1:34">
      <c r="A110" s="48"/>
      <c r="C110" s="13" t="s">
        <v>34</v>
      </c>
      <c r="D110" s="95">
        <f t="shared" si="10"/>
        <v>-1100000</v>
      </c>
      <c r="E110" s="95">
        <f t="shared" ref="E110:AH110" si="13">D110+E$106*$G62</f>
        <v>-1042637.4774772162</v>
      </c>
      <c r="F110" s="95">
        <f t="shared" si="13"/>
        <v>-983381.99171118042</v>
      </c>
      <c r="G110" s="95">
        <f t="shared" si="13"/>
        <v>-922171.07491486554</v>
      </c>
      <c r="H110" s="95">
        <f t="shared" si="13"/>
        <v>-858940.19786427217</v>
      </c>
      <c r="I110" s="95">
        <f t="shared" si="13"/>
        <v>-793622.70187100931</v>
      </c>
      <c r="J110" s="95">
        <f t="shared" si="13"/>
        <v>-726149.72850996873</v>
      </c>
      <c r="K110" s="95">
        <f t="shared" si="13"/>
        <v>-656450.14702801383</v>
      </c>
      <c r="L110" s="95">
        <f t="shared" si="13"/>
        <v>-584450.47935715446</v>
      </c>
      <c r="M110" s="95">
        <f t="shared" si="13"/>
        <v>-510074.82265315671</v>
      </c>
      <c r="N110" s="95">
        <f t="shared" si="13"/>
        <v>-433244.769277927</v>
      </c>
      <c r="O110" s="95">
        <f t="shared" si="13"/>
        <v>-353879.32414131472</v>
      </c>
      <c r="P110" s="95">
        <f t="shared" si="13"/>
        <v>-271894.81931519421</v>
      </c>
      <c r="Q110" s="95">
        <f t="shared" si="13"/>
        <v>-187204.82582981174</v>
      </c>
      <c r="R110" s="95">
        <f t="shared" si="13"/>
        <v>-99720.062559411657</v>
      </c>
      <c r="S110" s="95">
        <f t="shared" si="13"/>
        <v>-9348.3021010883676</v>
      </c>
      <c r="T110" s="95">
        <f t="shared" si="13"/>
        <v>84005.726452359595</v>
      </c>
      <c r="U110" s="95">
        <f t="shared" si="13"/>
        <v>180440.43794807134</v>
      </c>
      <c r="V110" s="95">
        <f t="shared" si="13"/>
        <v>280057.49492314155</v>
      </c>
      <c r="W110" s="95">
        <f t="shared" si="13"/>
        <v>382961.91477838909</v>
      </c>
      <c r="X110" s="96">
        <f t="shared" si="13"/>
        <v>489262.18048885983</v>
      </c>
      <c r="Y110" s="95">
        <f t="shared" si="13"/>
        <v>599070.3549677761</v>
      </c>
      <c r="Z110" s="95">
        <f t="shared" si="13"/>
        <v>712502.19920449657</v>
      </c>
      <c r="AA110" s="95">
        <f t="shared" si="13"/>
        <v>829677.29430102883</v>
      </c>
      <c r="AB110" s="95">
        <f t="shared" si="13"/>
        <v>950719.1675357467</v>
      </c>
      <c r="AC110" s="96">
        <f t="shared" si="13"/>
        <v>1075755.4225872103</v>
      </c>
      <c r="AD110" s="95">
        <f t="shared" si="13"/>
        <v>1204917.8740553721</v>
      </c>
      <c r="AE110" s="95">
        <f t="shared" si="13"/>
        <v>1338342.6864219832</v>
      </c>
      <c r="AF110" s="95">
        <f t="shared" si="13"/>
        <v>1476170.5175966925</v>
      </c>
      <c r="AG110" s="95">
        <f t="shared" si="13"/>
        <v>1618546.6672001672</v>
      </c>
      <c r="AH110" s="96">
        <f t="shared" si="13"/>
        <v>1765621.2297405566</v>
      </c>
    </row>
    <row r="111" spans="1:34">
      <c r="A111" s="48"/>
      <c r="C111" s="27" t="s">
        <v>35</v>
      </c>
      <c r="D111" s="95">
        <f t="shared" si="10"/>
        <v>-1100000</v>
      </c>
      <c r="E111" s="95">
        <f t="shared" ref="E111:AH111" si="14">D111+E$106*$G63</f>
        <v>-1040770.2423081911</v>
      </c>
      <c r="F111" s="95">
        <f t="shared" si="14"/>
        <v>-979585.90261255251</v>
      </c>
      <c r="G111" s="95">
        <f t="shared" si="14"/>
        <v>-916382.47970695782</v>
      </c>
      <c r="H111" s="95">
        <f t="shared" si="14"/>
        <v>-851093.34384547849</v>
      </c>
      <c r="I111" s="95">
        <f t="shared" si="14"/>
        <v>-783649.66650057037</v>
      </c>
      <c r="J111" s="95">
        <f t="shared" si="14"/>
        <v>-713980.34780328022</v>
      </c>
      <c r="K111" s="95">
        <f t="shared" si="14"/>
        <v>-642011.94158897956</v>
      </c>
      <c r="L111" s="95">
        <f t="shared" si="14"/>
        <v>-567668.57796960697</v>
      </c>
      <c r="M111" s="95">
        <f t="shared" si="14"/>
        <v>-490871.88335079513</v>
      </c>
      <c r="N111" s="95">
        <f t="shared" si="14"/>
        <v>-411540.89780956251</v>
      </c>
      <c r="O111" s="95">
        <f t="shared" si="14"/>
        <v>-329591.98974546918</v>
      </c>
      <c r="P111" s="95">
        <f t="shared" si="14"/>
        <v>-244938.76771526076</v>
      </c>
      <c r="Q111" s="95">
        <f t="shared" si="14"/>
        <v>-157491.98935805546</v>
      </c>
      <c r="R111" s="95">
        <f t="shared" si="14"/>
        <v>-67159.4673150624</v>
      </c>
      <c r="S111" s="95">
        <f t="shared" si="14"/>
        <v>26154.027955349433</v>
      </c>
      <c r="T111" s="95">
        <f t="shared" si="14"/>
        <v>122546.86856968486</v>
      </c>
      <c r="U111" s="95">
        <f t="shared" si="14"/>
        <v>222120.67292429332</v>
      </c>
      <c r="V111" s="95">
        <f t="shared" si="14"/>
        <v>324980.41282260389</v>
      </c>
      <c r="W111" s="95">
        <f t="shared" si="14"/>
        <v>431234.52413755871</v>
      </c>
      <c r="X111" s="96">
        <f t="shared" si="14"/>
        <v>540995.02112590708</v>
      </c>
      <c r="Y111" s="95">
        <f t="shared" si="14"/>
        <v>654377.61451487092</v>
      </c>
      <c r="Z111" s="95">
        <f t="shared" si="14"/>
        <v>771501.83348567062</v>
      </c>
      <c r="AA111" s="95">
        <f t="shared" si="14"/>
        <v>892491.15168250666</v>
      </c>
      <c r="AB111" s="95">
        <f t="shared" si="14"/>
        <v>1017473.1173798383</v>
      </c>
      <c r="AC111" s="96">
        <f t="shared" si="14"/>
        <v>1146579.4879451818</v>
      </c>
      <c r="AD111" s="95">
        <f t="shared" si="14"/>
        <v>1279946.3687391817</v>
      </c>
      <c r="AE111" s="95">
        <f t="shared" si="14"/>
        <v>1417714.3565993835</v>
      </c>
      <c r="AF111" s="95">
        <f t="shared" si="14"/>
        <v>1560028.6880589721</v>
      </c>
      <c r="AG111" s="95">
        <f t="shared" si="14"/>
        <v>1707039.3924567271</v>
      </c>
      <c r="AH111" s="96">
        <f t="shared" si="14"/>
        <v>1858901.4500996079</v>
      </c>
    </row>
    <row r="112" spans="1:34">
      <c r="A112" s="48"/>
      <c r="C112" s="4" t="s">
        <v>36</v>
      </c>
      <c r="D112" s="95">
        <f t="shared" si="10"/>
        <v>-1100000</v>
      </c>
      <c r="E112" s="95">
        <f t="shared" ref="E112:AH112" si="15">D112+E$106*$G64</f>
        <v>-1044989.7167235591</v>
      </c>
      <c r="F112" s="95">
        <f t="shared" si="15"/>
        <v>-988164.09409899567</v>
      </c>
      <c r="G112" s="95">
        <f t="shared" si="15"/>
        <v>-929463.22592782159</v>
      </c>
      <c r="H112" s="95">
        <f t="shared" si="15"/>
        <v>-868825.22910699877</v>
      </c>
      <c r="I112" s="95">
        <f t="shared" si="15"/>
        <v>-806186.17839108885</v>
      </c>
      <c r="J112" s="95">
        <f t="shared" si="15"/>
        <v>-741480.0390015539</v>
      </c>
      <c r="K112" s="95">
        <f t="shared" si="15"/>
        <v>-674638.5970121643</v>
      </c>
      <c r="L112" s="95">
        <f t="shared" si="15"/>
        <v>-605591.38743712485</v>
      </c>
      <c r="M112" s="95">
        <f t="shared" si="15"/>
        <v>-534265.61994610913</v>
      </c>
      <c r="N112" s="95">
        <f t="shared" si="15"/>
        <v>-460586.10212788981</v>
      </c>
      <c r="O112" s="95">
        <f t="shared" si="15"/>
        <v>-384475.16022166924</v>
      </c>
      <c r="P112" s="95">
        <f t="shared" si="15"/>
        <v>-305852.55723254342</v>
      </c>
      <c r="Q112" s="95">
        <f t="shared" si="15"/>
        <v>-224635.40834477646</v>
      </c>
      <c r="R112" s="95">
        <f t="shared" si="15"/>
        <v>-140738.09354371318</v>
      </c>
      <c r="S112" s="95">
        <f t="shared" si="15"/>
        <v>-54072.167354214835</v>
      </c>
      <c r="T112" s="95">
        <f t="shared" si="15"/>
        <v>35453.734399536974</v>
      </c>
      <c r="U112" s="95">
        <f t="shared" si="15"/>
        <v>127933.99091116257</v>
      </c>
      <c r="V112" s="95">
        <f t="shared" si="15"/>
        <v>223466.09588767181</v>
      </c>
      <c r="W112" s="95">
        <f t="shared" si="15"/>
        <v>322150.76032840589</v>
      </c>
      <c r="X112" s="96">
        <f t="shared" si="15"/>
        <v>424092.01869568415</v>
      </c>
      <c r="Y112" s="95">
        <f t="shared" si="15"/>
        <v>529397.33858908259</v>
      </c>
      <c r="Z112" s="95">
        <f t="shared" si="15"/>
        <v>638177.73403896322</v>
      </c>
      <c r="AA112" s="95">
        <f t="shared" si="15"/>
        <v>750547.88253868988</v>
      </c>
      <c r="AB112" s="95">
        <f t="shared" si="15"/>
        <v>866626.24593890749</v>
      </c>
      <c r="AC112" s="96">
        <f t="shared" si="15"/>
        <v>986535.19533133227</v>
      </c>
      <c r="AD112" s="95">
        <f t="shared" si="15"/>
        <v>1110401.1400537072</v>
      </c>
      <c r="AE112" s="95">
        <f t="shared" si="15"/>
        <v>1238354.6609519203</v>
      </c>
      <c r="AF112" s="95">
        <f t="shared" si="15"/>
        <v>1370530.6480397745</v>
      </c>
      <c r="AG112" s="95">
        <f t="shared" si="15"/>
        <v>1507068.4427015278</v>
      </c>
      <c r="AH112" s="96">
        <f t="shared" si="15"/>
        <v>1648111.9845871192</v>
      </c>
    </row>
    <row r="113" spans="1:34">
      <c r="A113" s="48"/>
      <c r="C113" s="28" t="s">
        <v>37</v>
      </c>
      <c r="D113" s="95">
        <f t="shared" si="10"/>
        <v>-1100000</v>
      </c>
      <c r="E113" s="95">
        <f t="shared" ref="E113:AH113" si="16">D113+E$106*$G65</f>
        <v>-1046186.7172071056</v>
      </c>
      <c r="F113" s="95">
        <f t="shared" si="16"/>
        <v>-990597.5960820457</v>
      </c>
      <c r="G113" s="95">
        <f t="shared" si="16"/>
        <v>-933174.03395985882</v>
      </c>
      <c r="H113" s="95">
        <f t="shared" si="16"/>
        <v>-873855.49428763986</v>
      </c>
      <c r="I113" s="95">
        <f t="shared" si="16"/>
        <v>-812579.44280623761</v>
      </c>
      <c r="J113" s="95">
        <f t="shared" si="16"/>
        <v>-749281.28162594908</v>
      </c>
      <c r="K113" s="95">
        <f t="shared" si="16"/>
        <v>-683894.28112671105</v>
      </c>
      <c r="L113" s="95">
        <f t="shared" si="16"/>
        <v>-616349.50961099821</v>
      </c>
      <c r="M113" s="95">
        <f t="shared" si="16"/>
        <v>-546575.76063526678</v>
      </c>
      <c r="N113" s="95">
        <f t="shared" si="16"/>
        <v>-474499.47794333624</v>
      </c>
      <c r="O113" s="95">
        <f t="shared" si="16"/>
        <v>-400044.67792257201</v>
      </c>
      <c r="P113" s="95">
        <f t="shared" si="16"/>
        <v>-323132.86950112251</v>
      </c>
      <c r="Q113" s="95">
        <f t="shared" si="16"/>
        <v>-243682.97140176519</v>
      </c>
      <c r="R113" s="95">
        <f t="shared" si="16"/>
        <v>-161611.2266651291</v>
      </c>
      <c r="S113" s="95">
        <f t="shared" si="16"/>
        <v>-76831.114352184013</v>
      </c>
      <c r="T113" s="95">
        <f t="shared" si="16"/>
        <v>10746.741667088267</v>
      </c>
      <c r="U113" s="95">
        <f t="shared" si="16"/>
        <v>101214.66693499652</v>
      </c>
      <c r="V113" s="95">
        <f t="shared" si="16"/>
        <v>194668.03373674574</v>
      </c>
      <c r="W113" s="95">
        <f t="shared" si="16"/>
        <v>291205.36164295266</v>
      </c>
      <c r="X113" s="96">
        <f t="shared" si="16"/>
        <v>390928.42137006443</v>
      </c>
      <c r="Y113" s="95">
        <f t="shared" si="16"/>
        <v>493942.3420681709</v>
      </c>
      <c r="Z113" s="95">
        <f t="shared" si="16"/>
        <v>600355.72214931494</v>
      </c>
      <c r="AA113" s="95">
        <f t="shared" si="16"/>
        <v>710280.74377313664</v>
      </c>
      <c r="AB113" s="95">
        <f t="shared" si="16"/>
        <v>823833.29111054447</v>
      </c>
      <c r="AC113" s="96">
        <f t="shared" si="16"/>
        <v>941133.07251008681</v>
      </c>
      <c r="AD113" s="95">
        <f t="shared" si="16"/>
        <v>1062303.746695814</v>
      </c>
      <c r="AE113" s="95">
        <f t="shared" si="16"/>
        <v>1187473.0531296702</v>
      </c>
      <c r="AF113" s="95">
        <f t="shared" si="16"/>
        <v>1316772.9466758436</v>
      </c>
      <c r="AG113" s="95">
        <f t="shared" si="16"/>
        <v>1450339.7367090408</v>
      </c>
      <c r="AH113" s="96">
        <f t="shared" si="16"/>
        <v>1588314.2308133335</v>
      </c>
    </row>
    <row r="114" spans="1:34">
      <c r="A114" s="48"/>
      <c r="C114" s="27" t="s">
        <v>38</v>
      </c>
      <c r="D114" s="95">
        <f t="shared" si="10"/>
        <v>-1100000</v>
      </c>
      <c r="E114" s="95">
        <f t="shared" ref="E114:AH114" si="17">D114+E$106*$G66</f>
        <v>-1043024.3358884556</v>
      </c>
      <c r="F114" s="95">
        <f t="shared" si="17"/>
        <v>-984168.47486123024</v>
      </c>
      <c r="G114" s="95">
        <f t="shared" si="17"/>
        <v>-923370.37042010645</v>
      </c>
      <c r="H114" s="95">
        <f t="shared" si="17"/>
        <v>-860565.92853242555</v>
      </c>
      <c r="I114" s="95">
        <f t="shared" si="17"/>
        <v>-795688.94006245118</v>
      </c>
      <c r="J114" s="95">
        <f t="shared" si="17"/>
        <v>-728671.0109729676</v>
      </c>
      <c r="K114" s="95">
        <f t="shared" si="17"/>
        <v>-659441.49022353115</v>
      </c>
      <c r="L114" s="95">
        <f t="shared" si="17"/>
        <v>-587927.39528936334</v>
      </c>
      <c r="M114" s="95">
        <f t="shared" si="17"/>
        <v>-514053.33522236795</v>
      </c>
      <c r="N114" s="95">
        <f t="shared" si="17"/>
        <v>-437741.43117316172</v>
      </c>
      <c r="O114" s="95">
        <f t="shared" si="17"/>
        <v>-358911.23429033166</v>
      </c>
      <c r="P114" s="95">
        <f t="shared" si="17"/>
        <v>-277479.64091036818</v>
      </c>
      <c r="Q114" s="95">
        <f t="shared" si="17"/>
        <v>-193360.80494886596</v>
      </c>
      <c r="R114" s="95">
        <f t="shared" si="17"/>
        <v>-106466.04740063415</v>
      </c>
      <c r="S114" s="95">
        <f t="shared" si="17"/>
        <v>-16703.762853310691</v>
      </c>
      <c r="T114" s="95">
        <f t="shared" si="17"/>
        <v>76020.677084074443</v>
      </c>
      <c r="U114" s="95">
        <f t="shared" si="17"/>
        <v>171805.02353939327</v>
      </c>
      <c r="V114" s="95">
        <f t="shared" si="17"/>
        <v>270750.25342773763</v>
      </c>
      <c r="W114" s="95">
        <f t="shared" si="17"/>
        <v>372960.67590239737</v>
      </c>
      <c r="X114" s="96">
        <f t="shared" si="17"/>
        <v>478544.04231872084</v>
      </c>
      <c r="Y114" s="95">
        <f t="shared" si="17"/>
        <v>587611.659826783</v>
      </c>
      <c r="Z114" s="95">
        <f t="shared" si="17"/>
        <v>700278.50871261128</v>
      </c>
      <c r="AA114" s="95">
        <f t="shared" si="17"/>
        <v>816663.36361167184</v>
      </c>
      <c r="AB114" s="95">
        <f t="shared" si="17"/>
        <v>936888.91872240137</v>
      </c>
      <c r="AC114" s="96">
        <f t="shared" si="17"/>
        <v>1061081.917151785</v>
      </c>
      <c r="AD114" s="95">
        <f t="shared" si="17"/>
        <v>1189373.2845293384</v>
      </c>
      <c r="AE114" s="95">
        <f t="shared" si="17"/>
        <v>1321898.2670303509</v>
      </c>
      <c r="AF114" s="95">
        <f t="shared" si="17"/>
        <v>1458796.5739538968</v>
      </c>
      <c r="AG114" s="95">
        <f t="shared" si="17"/>
        <v>1600212.5250059196</v>
      </c>
      <c r="AH114" s="96">
        <f t="shared" si="17"/>
        <v>1746295.2024426593</v>
      </c>
    </row>
    <row r="115" spans="1:34">
      <c r="A115" s="48"/>
      <c r="C115" s="27" t="s">
        <v>39</v>
      </c>
      <c r="D115" s="95">
        <f t="shared" si="10"/>
        <v>-1100000</v>
      </c>
      <c r="E115" s="95">
        <f t="shared" ref="E115:AH115" si="18">D115+E$106*$G67</f>
        <v>-1047027.395284844</v>
      </c>
      <c r="F115" s="95">
        <f t="shared" si="18"/>
        <v>-992306.69461408781</v>
      </c>
      <c r="G115" s="95">
        <f t="shared" si="18"/>
        <v>-935780.21082119679</v>
      </c>
      <c r="H115" s="95">
        <f t="shared" si="18"/>
        <v>-877388.3530631403</v>
      </c>
      <c r="I115" s="95">
        <f t="shared" si="18"/>
        <v>-817069.56399906799</v>
      </c>
      <c r="J115" s="95">
        <f t="shared" si="18"/>
        <v>-754760.25489588128</v>
      </c>
      <c r="K115" s="95">
        <f t="shared" si="18"/>
        <v>-690394.73859228939</v>
      </c>
      <c r="L115" s="95">
        <f t="shared" si="18"/>
        <v>-623905.16025067901</v>
      </c>
      <c r="M115" s="95">
        <f t="shared" si="18"/>
        <v>-555221.42582379549</v>
      </c>
      <c r="N115" s="95">
        <f t="shared" si="18"/>
        <v>-484271.12816082477</v>
      </c>
      <c r="O115" s="95">
        <f t="shared" si="18"/>
        <v>-410979.47067497601</v>
      </c>
      <c r="P115" s="95">
        <f t="shared" si="18"/>
        <v>-335269.18849209428</v>
      </c>
      <c r="Q115" s="95">
        <f t="shared" si="18"/>
        <v>-257060.46699717746</v>
      </c>
      <c r="R115" s="95">
        <f t="shared" si="18"/>
        <v>-176270.85769292834</v>
      </c>
      <c r="S115" s="95">
        <f t="shared" si="18"/>
        <v>-92815.191281639025</v>
      </c>
      <c r="T115" s="95">
        <f t="shared" si="18"/>
        <v>-6605.4878787771595</v>
      </c>
      <c r="U115" s="95">
        <f t="shared" si="18"/>
        <v>82449.135736379147</v>
      </c>
      <c r="V115" s="95">
        <f t="shared" si="18"/>
        <v>174442.5619308356</v>
      </c>
      <c r="W115" s="95">
        <f t="shared" si="18"/>
        <v>269471.77118970914</v>
      </c>
      <c r="X115" s="96">
        <f t="shared" si="18"/>
        <v>367636.94435412547</v>
      </c>
      <c r="Y115" s="95">
        <f t="shared" si="18"/>
        <v>469041.56823296758</v>
      </c>
      <c r="Z115" s="95">
        <f t="shared" si="18"/>
        <v>573792.54469981149</v>
      </c>
      <c r="AA115" s="95">
        <f t="shared" si="18"/>
        <v>682000.30339006125</v>
      </c>
      <c r="AB115" s="95">
        <f t="shared" si="18"/>
        <v>793778.9181170892</v>
      </c>
      <c r="AC115" s="96">
        <f t="shared" si="18"/>
        <v>909246.2271301091</v>
      </c>
      <c r="AD115" s="95">
        <f t="shared" si="18"/>
        <v>1028523.9573405586</v>
      </c>
      <c r="AE115" s="95">
        <f t="shared" si="18"/>
        <v>1151737.852647953</v>
      </c>
      <c r="AF115" s="95">
        <f t="shared" si="18"/>
        <v>1279017.8065004915</v>
      </c>
      <c r="AG115" s="95">
        <f t="shared" si="18"/>
        <v>1410497.9988301636</v>
      </c>
      <c r="AH115" s="96">
        <f t="shared" si="18"/>
        <v>1546317.0375067149</v>
      </c>
    </row>
    <row r="116" spans="1:34">
      <c r="A116" s="48"/>
      <c r="C116" s="27" t="s">
        <v>99</v>
      </c>
      <c r="D116" s="95">
        <f t="shared" si="10"/>
        <v>-1100000</v>
      </c>
      <c r="E116" s="95">
        <f t="shared" ref="E116:AH116" si="19">D116+E$106*$G68</f>
        <v>-1042766.5910686844</v>
      </c>
      <c r="F116" s="95">
        <f t="shared" si="19"/>
        <v>-983644.47964263533</v>
      </c>
      <c r="G116" s="95">
        <f t="shared" si="19"/>
        <v>-922571.33853952668</v>
      </c>
      <c r="H116" s="95">
        <f t="shared" si="19"/>
        <v>-859482.78378001542</v>
      </c>
      <c r="I116" s="95">
        <f t="shared" si="19"/>
        <v>-794312.30671344034</v>
      </c>
      <c r="J116" s="95">
        <f t="shared" si="19"/>
        <v>-726991.20390366821</v>
      </c>
      <c r="K116" s="95">
        <f t="shared" si="19"/>
        <v>-657448.50470117363</v>
      </c>
      <c r="L116" s="95">
        <f t="shared" si="19"/>
        <v>-585610.89642499678</v>
      </c>
      <c r="M116" s="95">
        <f t="shared" si="19"/>
        <v>-511402.64707570605</v>
      </c>
      <c r="N116" s="95">
        <f t="shared" si="19"/>
        <v>-434745.52549788868</v>
      </c>
      <c r="O116" s="95">
        <f t="shared" si="19"/>
        <v>-355558.71890800341</v>
      </c>
      <c r="P116" s="95">
        <f t="shared" si="19"/>
        <v>-273758.74770065187</v>
      </c>
      <c r="Q116" s="95">
        <f t="shared" si="19"/>
        <v>-189259.37744345778</v>
      </c>
      <c r="R116" s="95">
        <f t="shared" si="19"/>
        <v>-101971.52796777626</v>
      </c>
      <c r="S116" s="95">
        <f t="shared" si="19"/>
        <v>-11803.179459397259</v>
      </c>
      <c r="T116" s="95">
        <f t="shared" si="19"/>
        <v>81340.724549758248</v>
      </c>
      <c r="U116" s="95">
        <f t="shared" si="19"/>
        <v>177558.37739121588</v>
      </c>
      <c r="V116" s="95">
        <f t="shared" si="19"/>
        <v>276951.21277644159</v>
      </c>
      <c r="W116" s="95">
        <f t="shared" si="19"/>
        <v>379624.01172937977</v>
      </c>
      <c r="X116" s="96">
        <f t="shared" si="19"/>
        <v>485685.01304776489</v>
      </c>
      <c r="Y116" s="95">
        <f t="shared" si="19"/>
        <v>595246.02740965679</v>
      </c>
      <c r="Z116" s="95">
        <f t="shared" si="19"/>
        <v>708422.55524549109</v>
      </c>
      <c r="AA116" s="95">
        <f t="shared" si="19"/>
        <v>825333.90849990794</v>
      </c>
      <c r="AB116" s="95">
        <f t="shared" si="19"/>
        <v>946103.33641172049</v>
      </c>
      <c r="AC116" s="96">
        <f t="shared" si="19"/>
        <v>1070858.155444623</v>
      </c>
      <c r="AD116" s="95">
        <f t="shared" si="19"/>
        <v>1199729.8835056112</v>
      </c>
      <c r="AE116" s="95">
        <f t="shared" si="19"/>
        <v>1332854.378592612</v>
      </c>
      <c r="AF116" s="95">
        <f t="shared" si="19"/>
        <v>1470371.9820174838</v>
      </c>
      <c r="AG116" s="95">
        <f t="shared" si="19"/>
        <v>1612427.6663553764</v>
      </c>
      <c r="AH116" s="96">
        <f t="shared" si="19"/>
        <v>1759171.1882764194</v>
      </c>
    </row>
    <row r="117" spans="1:34">
      <c r="A117" s="48"/>
      <c r="C117" s="27" t="s">
        <v>40</v>
      </c>
      <c r="D117" s="95">
        <f t="shared" si="10"/>
        <v>-1100000</v>
      </c>
      <c r="E117" s="95">
        <f t="shared" ref="E117:AH117" si="20">D117+E$106*$G69</f>
        <v>-1035550.4118438812</v>
      </c>
      <c r="F117" s="95">
        <f t="shared" si="20"/>
        <v>-968973.98727861058</v>
      </c>
      <c r="G117" s="95">
        <f t="shared" si="20"/>
        <v>-900200.54070268595</v>
      </c>
      <c r="H117" s="95">
        <f t="shared" si="20"/>
        <v>-829157.57038975589</v>
      </c>
      <c r="I117" s="95">
        <f t="shared" si="20"/>
        <v>-755770.18205649906</v>
      </c>
      <c r="J117" s="95">
        <f t="shared" si="20"/>
        <v>-679961.00990824483</v>
      </c>
      <c r="K117" s="95">
        <f t="shared" si="20"/>
        <v>-601650.13507909817</v>
      </c>
      <c r="L117" s="95">
        <f t="shared" si="20"/>
        <v>-520755.00138058967</v>
      </c>
      <c r="M117" s="95">
        <f t="shared" si="20"/>
        <v>-437190.32827003044</v>
      </c>
      <c r="N117" s="95">
        <f t="shared" si="20"/>
        <v>-350868.02094682271</v>
      </c>
      <c r="O117" s="95">
        <f t="shared" si="20"/>
        <v>-261697.07748194915</v>
      </c>
      <c r="P117" s="95">
        <f t="shared" si="20"/>
        <v>-169583.49288273475</v>
      </c>
      <c r="Q117" s="95">
        <f t="shared" si="20"/>
        <v>-74430.159991746288</v>
      </c>
      <c r="R117" s="95">
        <f t="shared" si="20"/>
        <v>23863.232884644778</v>
      </c>
      <c r="S117" s="95">
        <f t="shared" si="20"/>
        <v>125400.30772595675</v>
      </c>
      <c r="T117" s="95">
        <f t="shared" si="20"/>
        <v>230288.10603703203</v>
      </c>
      <c r="U117" s="95">
        <f t="shared" si="20"/>
        <v>338637.20169237279</v>
      </c>
      <c r="V117" s="95">
        <f t="shared" si="20"/>
        <v>450561.81750433979</v>
      </c>
      <c r="W117" s="95">
        <f t="shared" si="20"/>
        <v>566179.94563810166</v>
      </c>
      <c r="X117" s="96">
        <f t="shared" si="20"/>
        <v>685613.47200027772</v>
      </c>
      <c r="Y117" s="95">
        <f t="shared" si="20"/>
        <v>808988.30473240558</v>
      </c>
      <c r="Z117" s="95">
        <f t="shared" si="20"/>
        <v>936434.50694469362</v>
      </c>
      <c r="AA117" s="95">
        <f t="shared" si="20"/>
        <v>1068086.4338299872</v>
      </c>
      <c r="AB117" s="95">
        <f t="shared" si="20"/>
        <v>1204082.8743024955</v>
      </c>
      <c r="AC117" s="96">
        <f t="shared" si="20"/>
        <v>1344567.1973105965</v>
      </c>
      <c r="AD117" s="95">
        <f t="shared" si="20"/>
        <v>1489687.5029779649</v>
      </c>
      <c r="AE117" s="95">
        <f t="shared" si="20"/>
        <v>1639596.7787323564</v>
      </c>
      <c r="AF117" s="95">
        <f t="shared" si="20"/>
        <v>1794453.0605866429</v>
      </c>
      <c r="AG117" s="95">
        <f t="shared" si="20"/>
        <v>1954419.5997421208</v>
      </c>
      <c r="AH117" s="96">
        <f t="shared" si="20"/>
        <v>2119665.0346897296</v>
      </c>
    </row>
    <row r="118" spans="1:34">
      <c r="A118" s="48"/>
      <c r="C118" s="27" t="s">
        <v>41</v>
      </c>
      <c r="D118" s="95">
        <f t="shared" si="10"/>
        <v>-1100000</v>
      </c>
      <c r="E118" s="95">
        <f t="shared" ref="E118:AH118" si="21">D118+E$106*$G70</f>
        <v>-1032503.8018884943</v>
      </c>
      <c r="F118" s="95">
        <f t="shared" si="21"/>
        <v>-962780.22923930897</v>
      </c>
      <c r="G118" s="95">
        <f t="shared" si="21"/>
        <v>-890755.77869270055</v>
      </c>
      <c r="H118" s="95">
        <f t="shared" si="21"/>
        <v>-816354.52127805399</v>
      </c>
      <c r="I118" s="95">
        <f t="shared" si="21"/>
        <v>-739498.02236872411</v>
      </c>
      <c r="J118" s="95">
        <f t="shared" si="21"/>
        <v>-660105.25899538631</v>
      </c>
      <c r="K118" s="95">
        <f t="shared" si="21"/>
        <v>-578092.53443072841</v>
      </c>
      <c r="L118" s="95">
        <f t="shared" si="21"/>
        <v>-493373.38995543681</v>
      </c>
      <c r="M118" s="95">
        <f t="shared" si="21"/>
        <v>-405858.51371246058</v>
      </c>
      <c r="N118" s="95">
        <f t="shared" si="21"/>
        <v>-315455.64655346615</v>
      </c>
      <c r="O118" s="95">
        <f t="shared" si="21"/>
        <v>-222069.4847782249</v>
      </c>
      <c r="P118" s="95">
        <f t="shared" si="21"/>
        <v>-125601.57966440068</v>
      </c>
      <c r="Q118" s="95">
        <f t="shared" si="21"/>
        <v>-25950.23368182026</v>
      </c>
      <c r="R118" s="95">
        <f t="shared" si="21"/>
        <v>76989.6067181853</v>
      </c>
      <c r="S118" s="95">
        <f t="shared" si="21"/>
        <v>183326.46185139104</v>
      </c>
      <c r="T118" s="95">
        <f t="shared" si="21"/>
        <v>293172.43320399255</v>
      </c>
      <c r="U118" s="95">
        <f t="shared" si="21"/>
        <v>406643.32161122991</v>
      </c>
      <c r="V118" s="95">
        <f t="shared" si="21"/>
        <v>523858.74933590612</v>
      </c>
      <c r="W118" s="95">
        <f t="shared" si="21"/>
        <v>644942.28617549664</v>
      </c>
      <c r="X118" s="96">
        <f t="shared" si="21"/>
        <v>770021.57973079372</v>
      </c>
      <c r="Y118" s="95">
        <f t="shared" si="21"/>
        <v>899228.4899734155</v>
      </c>
      <c r="Z118" s="95">
        <f t="shared" si="21"/>
        <v>1032699.2282540438</v>
      </c>
      <c r="AA118" s="95">
        <f t="shared" si="21"/>
        <v>1170574.500897933</v>
      </c>
      <c r="AB118" s="95">
        <f t="shared" si="21"/>
        <v>1312999.6575390704</v>
      </c>
      <c r="AC118" s="96">
        <f t="shared" si="21"/>
        <v>1460124.8443493652</v>
      </c>
      <c r="AD118" s="95">
        <f t="shared" si="21"/>
        <v>1612105.1623243999</v>
      </c>
      <c r="AE118" s="95">
        <f t="shared" si="21"/>
        <v>1769100.8307926108</v>
      </c>
      <c r="AF118" s="95">
        <f t="shared" si="21"/>
        <v>1931277.3563202727</v>
      </c>
      <c r="AG118" s="95">
        <f t="shared" si="21"/>
        <v>2098805.7071903474</v>
      </c>
      <c r="AH118" s="96">
        <f t="shared" si="21"/>
        <v>2271862.4936391343</v>
      </c>
    </row>
    <row r="119" spans="1:34">
      <c r="A119" s="48"/>
      <c r="C119" s="27" t="s">
        <v>42</v>
      </c>
      <c r="D119" s="95">
        <f t="shared" si="10"/>
        <v>-1100000</v>
      </c>
      <c r="E119" s="95">
        <f t="shared" ref="E119:AH119" si="22">D119+E$106*$G71</f>
        <v>-1035165.4282384955</v>
      </c>
      <c r="F119" s="95">
        <f t="shared" si="22"/>
        <v>-968191.31560886127</v>
      </c>
      <c r="G119" s="95">
        <f t="shared" si="22"/>
        <v>-899007.05726244918</v>
      </c>
      <c r="H119" s="95">
        <f t="shared" si="22"/>
        <v>-827539.71839060541</v>
      </c>
      <c r="I119" s="95">
        <f t="shared" si="22"/>
        <v>-753713.95733599085</v>
      </c>
      <c r="J119" s="95">
        <f t="shared" si="22"/>
        <v>-677451.94616657402</v>
      </c>
      <c r="K119" s="95">
        <f t="shared" si="22"/>
        <v>-598673.28862856643</v>
      </c>
      <c r="L119" s="95">
        <f t="shared" si="22"/>
        <v>-517294.93539180455</v>
      </c>
      <c r="M119" s="95">
        <f t="shared" si="22"/>
        <v>-433231.09649822954</v>
      </c>
      <c r="N119" s="95">
        <f t="shared" si="22"/>
        <v>-346393.15092116658</v>
      </c>
      <c r="O119" s="95">
        <f t="shared" si="22"/>
        <v>-256689.55314006051</v>
      </c>
      <c r="P119" s="95">
        <f t="shared" si="22"/>
        <v>-164025.73663217796</v>
      </c>
      <c r="Q119" s="95">
        <f t="shared" si="22"/>
        <v>-68304.014179535283</v>
      </c>
      <c r="R119" s="95">
        <f t="shared" si="22"/>
        <v>30576.525114044591</v>
      </c>
      <c r="S119" s="95">
        <f t="shared" si="22"/>
        <v>132720.12220431259</v>
      </c>
      <c r="T119" s="95">
        <f t="shared" si="22"/>
        <v>238234.45799855946</v>
      </c>
      <c r="U119" s="95">
        <f t="shared" si="22"/>
        <v>347230.7668740165</v>
      </c>
      <c r="V119" s="95">
        <f t="shared" si="22"/>
        <v>459823.95394236356</v>
      </c>
      <c r="W119" s="95">
        <f t="shared" si="22"/>
        <v>576132.71618396614</v>
      </c>
      <c r="X119" s="96">
        <f t="shared" si="22"/>
        <v>696279.66757954156</v>
      </c>
      <c r="Y119" s="95">
        <f t="shared" si="22"/>
        <v>820391.46837117104</v>
      </c>
      <c r="Z119" s="95">
        <f t="shared" si="22"/>
        <v>948598.95858892426</v>
      </c>
      <c r="AA119" s="95">
        <f t="shared" si="22"/>
        <v>1081037.2959838633</v>
      </c>
      <c r="AB119" s="95">
        <f t="shared" si="22"/>
        <v>1217846.0985128353</v>
      </c>
      <c r="AC119" s="96">
        <f t="shared" si="22"/>
        <v>1359169.5915252634</v>
      </c>
      <c r="AD119" s="95">
        <f t="shared" si="22"/>
        <v>1505156.7598071017</v>
      </c>
      <c r="AE119" s="95">
        <f t="shared" si="22"/>
        <v>1655961.5046422405</v>
      </c>
      <c r="AF119" s="95">
        <f t="shared" si="22"/>
        <v>1811742.8060569388</v>
      </c>
      <c r="AG119" s="95">
        <f t="shared" si="22"/>
        <v>1972664.8904183223</v>
      </c>
      <c r="AH119" s="96">
        <f t="shared" si="22"/>
        <v>2138897.4035636317</v>
      </c>
    </row>
    <row r="120" spans="1:34">
      <c r="A120" s="48"/>
      <c r="C120" s="27" t="s">
        <v>43</v>
      </c>
      <c r="D120" s="95">
        <f t="shared" si="10"/>
        <v>-1100000</v>
      </c>
      <c r="E120" s="95">
        <f t="shared" ref="E120:AH120" si="23">D120+E$106*$G72</f>
        <v>-1029398.4592259612</v>
      </c>
      <c r="F120" s="95">
        <f t="shared" si="23"/>
        <v>-956467.06760637928</v>
      </c>
      <c r="G120" s="95">
        <f t="shared" si="23"/>
        <v>-881128.94006335107</v>
      </c>
      <c r="H120" s="95">
        <f t="shared" si="23"/>
        <v>-803304.65431140293</v>
      </c>
      <c r="I120" s="95">
        <f t="shared" si="23"/>
        <v>-722912.16712964047</v>
      </c>
      <c r="J120" s="95">
        <f t="shared" si="23"/>
        <v>-639866.72787087993</v>
      </c>
      <c r="K120" s="95">
        <f t="shared" si="23"/>
        <v>-554080.78911658027</v>
      </c>
      <c r="L120" s="95">
        <f t="shared" si="23"/>
        <v>-465463.91438338871</v>
      </c>
      <c r="M120" s="95">
        <f t="shared" si="23"/>
        <v>-373922.68278400181</v>
      </c>
      <c r="N120" s="95">
        <f t="shared" si="23"/>
        <v>-279360.59054183518</v>
      </c>
      <c r="O120" s="95">
        <f t="shared" si="23"/>
        <v>-181677.94925567703</v>
      </c>
      <c r="P120" s="95">
        <f t="shared" si="23"/>
        <v>-80771.780807075658</v>
      </c>
      <c r="Q120" s="95">
        <f t="shared" si="23"/>
        <v>23464.29120032955</v>
      </c>
      <c r="R120" s="95">
        <f t="shared" si="23"/>
        <v>131140.15358397912</v>
      </c>
      <c r="S120" s="95">
        <f t="shared" si="23"/>
        <v>242369.31942628912</v>
      </c>
      <c r="T120" s="95">
        <f t="shared" si="23"/>
        <v>357269.04774139536</v>
      </c>
      <c r="U120" s="95">
        <f t="shared" si="23"/>
        <v>475960.46709090011</v>
      </c>
      <c r="V120" s="95">
        <f t="shared" si="23"/>
        <v>598568.70327893854</v>
      </c>
      <c r="W120" s="95">
        <f t="shared" si="23"/>
        <v>725223.01126118226</v>
      </c>
      <c r="X120" s="96">
        <f t="shared" si="23"/>
        <v>856056.91140683996</v>
      </c>
      <c r="Y120" s="95">
        <f t="shared" si="23"/>
        <v>991208.33025730436</v>
      </c>
      <c r="Z120" s="95">
        <f t="shared" si="23"/>
        <v>1130819.7459298342</v>
      </c>
      <c r="AA120" s="95">
        <f t="shared" si="23"/>
        <v>1275038.3383195575</v>
      </c>
      <c r="AB120" s="95">
        <f t="shared" si="23"/>
        <v>1424016.1442581415</v>
      </c>
      <c r="AC120" s="96">
        <f t="shared" si="23"/>
        <v>1577910.2177926989</v>
      </c>
      <c r="AD120" s="95">
        <f t="shared" si="23"/>
        <v>1736882.7957538967</v>
      </c>
      <c r="AE120" s="95">
        <f t="shared" si="23"/>
        <v>1901101.468787814</v>
      </c>
      <c r="AF120" s="95">
        <f t="shared" si="23"/>
        <v>2070739.3580318505</v>
      </c>
      <c r="AG120" s="95">
        <f t="shared" si="23"/>
        <v>2245975.2976209405</v>
      </c>
      <c r="AH120" s="96">
        <f t="shared" si="23"/>
        <v>2426994.0232164701</v>
      </c>
    </row>
    <row r="121" spans="1:34">
      <c r="A121" s="48"/>
      <c r="C121" s="27" t="s">
        <v>44</v>
      </c>
      <c r="D121" s="95">
        <f t="shared" si="10"/>
        <v>-1100000</v>
      </c>
      <c r="E121" s="95">
        <f t="shared" ref="E121:AH121" si="24">D121+E$106*$G73</f>
        <v>-1029087.3896311756</v>
      </c>
      <c r="F121" s="95">
        <f t="shared" si="24"/>
        <v>-955834.6631201799</v>
      </c>
      <c r="G121" s="95">
        <f t="shared" si="24"/>
        <v>-880164.59663432138</v>
      </c>
      <c r="H121" s="95">
        <f t="shared" si="24"/>
        <v>-801997.41795442952</v>
      </c>
      <c r="I121" s="95">
        <f t="shared" si="24"/>
        <v>-721250.7223781012</v>
      </c>
      <c r="J121" s="95">
        <f t="shared" si="24"/>
        <v>-637839.38584775408</v>
      </c>
      <c r="K121" s="95">
        <f t="shared" si="24"/>
        <v>-551675.47521190555</v>
      </c>
      <c r="L121" s="95">
        <f t="shared" si="24"/>
        <v>-462668.15552507399</v>
      </c>
      <c r="M121" s="95">
        <f t="shared" si="24"/>
        <v>-370723.59428857698</v>
      </c>
      <c r="N121" s="95">
        <f t="shared" si="24"/>
        <v>-275744.86253127555</v>
      </c>
      <c r="O121" s="95">
        <f t="shared" si="24"/>
        <v>-177631.8326259832</v>
      </c>
      <c r="P121" s="95">
        <f t="shared" si="24"/>
        <v>-76281.072733816196</v>
      </c>
      <c r="Q121" s="95">
        <f t="shared" si="24"/>
        <v>28414.262234792317</v>
      </c>
      <c r="R121" s="95">
        <f t="shared" si="24"/>
        <v>136564.54325736489</v>
      </c>
      <c r="S121" s="95">
        <f t="shared" si="24"/>
        <v>248283.78355368238</v>
      </c>
      <c r="T121" s="95">
        <f t="shared" si="24"/>
        <v>363689.75877977838</v>
      </c>
      <c r="U121" s="95">
        <f t="shared" si="24"/>
        <v>482904.13118833548</v>
      </c>
      <c r="V121" s="95">
        <f t="shared" si="24"/>
        <v>606052.57788637502</v>
      </c>
      <c r="W121" s="95">
        <f t="shared" si="24"/>
        <v>733264.92332544981</v>
      </c>
      <c r="X121" s="96">
        <f t="shared" si="24"/>
        <v>864675.27616401413</v>
      </c>
      <c r="Y121" s="95">
        <f t="shared" si="24"/>
        <v>1000422.1706462511</v>
      </c>
      <c r="Z121" s="95">
        <f t="shared" si="24"/>
        <v>1140648.7126464017</v>
      </c>
      <c r="AA121" s="95">
        <f t="shared" si="24"/>
        <v>1285502.7305325575</v>
      </c>
      <c r="AB121" s="95">
        <f t="shared" si="24"/>
        <v>1435136.9310089564</v>
      </c>
      <c r="AC121" s="96">
        <f t="shared" si="24"/>
        <v>1589709.0601010765</v>
      </c>
      <c r="AD121" s="95">
        <f t="shared" si="24"/>
        <v>1749382.0694532364</v>
      </c>
      <c r="AE121" s="95">
        <f t="shared" si="24"/>
        <v>1914324.2881140176</v>
      </c>
      <c r="AF121" s="95">
        <f t="shared" si="24"/>
        <v>2084709.5999906047</v>
      </c>
      <c r="AG121" s="95">
        <f t="shared" si="24"/>
        <v>2260717.6271591191</v>
      </c>
      <c r="AH121" s="96">
        <f t="shared" si="24"/>
        <v>2442533.9192241943</v>
      </c>
    </row>
    <row r="122" spans="1:34">
      <c r="A122" s="48"/>
      <c r="C122" s="27" t="s">
        <v>45</v>
      </c>
      <c r="D122" s="95">
        <f t="shared" si="10"/>
        <v>-1100000</v>
      </c>
      <c r="E122" s="95">
        <f t="shared" ref="E122:AH122" si="25">D122+E$106*$G74</f>
        <v>-1027932.8518187739</v>
      </c>
      <c r="F122" s="95">
        <f t="shared" si="25"/>
        <v>-953487.48774756736</v>
      </c>
      <c r="G122" s="95">
        <f t="shared" si="25"/>
        <v>-876585.42666201107</v>
      </c>
      <c r="H122" s="95">
        <f t="shared" si="25"/>
        <v>-797145.59756063134</v>
      </c>
      <c r="I122" s="95">
        <f t="shared" si="25"/>
        <v>-715084.25409890618</v>
      </c>
      <c r="J122" s="95">
        <f t="shared" si="25"/>
        <v>-630314.88630294404</v>
      </c>
      <c r="K122" s="95">
        <f t="shared" si="25"/>
        <v>-542748.12936971511</v>
      </c>
      <c r="L122" s="95">
        <f t="shared" si="25"/>
        <v>-452291.66945768968</v>
      </c>
      <c r="M122" s="95">
        <f t="shared" si="25"/>
        <v>-358850.14636856737</v>
      </c>
      <c r="N122" s="95">
        <f t="shared" si="25"/>
        <v>-262325.05301750405</v>
      </c>
      <c r="O122" s="95">
        <f t="shared" si="25"/>
        <v>-162614.63158585562</v>
      </c>
      <c r="P122" s="95">
        <f t="shared" si="25"/>
        <v>-59613.766246962812</v>
      </c>
      <c r="Q122" s="95">
        <f t="shared" si="25"/>
        <v>46786.127648113456</v>
      </c>
      <c r="R122" s="95">
        <f t="shared" si="25"/>
        <v>156697.21804172723</v>
      </c>
      <c r="S122" s="95">
        <f t="shared" si="25"/>
        <v>270235.37441833026</v>
      </c>
      <c r="T122" s="95">
        <f t="shared" si="25"/>
        <v>387520.28995536116</v>
      </c>
      <c r="U122" s="95">
        <f t="shared" si="25"/>
        <v>508675.60770511412</v>
      </c>
      <c r="V122" s="95">
        <f t="shared" si="25"/>
        <v>633829.05094060895</v>
      </c>
      <c r="W122" s="95">
        <f t="shared" si="25"/>
        <v>763112.55780287506</v>
      </c>
      <c r="X122" s="96">
        <f t="shared" si="25"/>
        <v>896662.42039159592</v>
      </c>
      <c r="Y122" s="95">
        <f t="shared" si="25"/>
        <v>1034619.4284457446</v>
      </c>
      <c r="Z122" s="95">
        <f t="shared" si="25"/>
        <v>1177129.0177656801</v>
      </c>
      <c r="AA122" s="95">
        <f t="shared" si="25"/>
        <v>1324341.4235331735</v>
      </c>
      <c r="AB122" s="95">
        <f t="shared" si="25"/>
        <v>1476411.8386909943</v>
      </c>
      <c r="AC122" s="96">
        <f t="shared" si="25"/>
        <v>1633500.5775490231</v>
      </c>
      <c r="AD122" s="95">
        <f t="shared" si="25"/>
        <v>1795773.2447893668</v>
      </c>
      <c r="AE122" s="95">
        <f t="shared" si="25"/>
        <v>1963400.910048642</v>
      </c>
      <c r="AF122" s="95">
        <f t="shared" si="25"/>
        <v>2136560.2882614732</v>
      </c>
      <c r="AG122" s="95">
        <f t="shared" si="25"/>
        <v>2315433.9259553277</v>
      </c>
      <c r="AH122" s="96">
        <f t="shared" si="25"/>
        <v>2500210.3936930797</v>
      </c>
    </row>
    <row r="123" spans="1:34">
      <c r="A123" s="48"/>
      <c r="C123" s="27" t="s">
        <v>46</v>
      </c>
      <c r="D123" s="95">
        <f t="shared" si="10"/>
        <v>-1100000</v>
      </c>
      <c r="E123" s="95">
        <f t="shared" ref="E123:AH123" si="26">D123+E$106*$G75</f>
        <v>-1023462.3310211409</v>
      </c>
      <c r="F123" s="95">
        <f t="shared" si="26"/>
        <v>-944398.91896597948</v>
      </c>
      <c r="G123" s="95">
        <f t="shared" si="26"/>
        <v>-862726.41431299772</v>
      </c>
      <c r="H123" s="95">
        <f t="shared" si="26"/>
        <v>-778358.71700646763</v>
      </c>
      <c r="I123" s="95">
        <f t="shared" si="26"/>
        <v>-691206.88568882202</v>
      </c>
      <c r="J123" s="95">
        <f t="shared" si="26"/>
        <v>-601179.04393769405</v>
      </c>
      <c r="K123" s="95">
        <f t="shared" si="26"/>
        <v>-508180.28340877889</v>
      </c>
      <c r="L123" s="95">
        <f t="shared" si="26"/>
        <v>-412112.56378240953</v>
      </c>
      <c r="M123" s="95">
        <f t="shared" si="26"/>
        <v>-312874.60940836999</v>
      </c>
      <c r="N123" s="95">
        <f t="shared" si="26"/>
        <v>-210361.80253998714</v>
      </c>
      <c r="O123" s="95">
        <f t="shared" si="26"/>
        <v>-104466.07304494768</v>
      </c>
      <c r="P123" s="95">
        <f t="shared" si="26"/>
        <v>4924.2155234280799</v>
      </c>
      <c r="Q123" s="95">
        <f t="shared" si="26"/>
        <v>117924.38361456024</v>
      </c>
      <c r="R123" s="95">
        <f t="shared" si="26"/>
        <v>234653.55725269974</v>
      </c>
      <c r="S123" s="95">
        <f t="shared" si="26"/>
        <v>355234.79362089786</v>
      </c>
      <c r="T123" s="95">
        <f t="shared" si="26"/>
        <v>479795.21078924654</v>
      </c>
      <c r="U123" s="95">
        <f t="shared" si="26"/>
        <v>608466.12172415073</v>
      </c>
      <c r="V123" s="95">
        <f t="shared" si="26"/>
        <v>741383.17271990678</v>
      </c>
      <c r="W123" s="95">
        <f t="shared" si="26"/>
        <v>878686.48639852274</v>
      </c>
      <c r="X123" s="96">
        <f t="shared" si="26"/>
        <v>1020520.8094285331</v>
      </c>
      <c r="Y123" s="95">
        <f t="shared" si="26"/>
        <v>1167035.6651185337</v>
      </c>
      <c r="Z123" s="95">
        <f t="shared" si="26"/>
        <v>1318385.5110463044</v>
      </c>
      <c r="AA123" s="95">
        <f t="shared" si="26"/>
        <v>1474729.9018896914</v>
      </c>
      <c r="AB123" s="95">
        <f t="shared" si="26"/>
        <v>1636233.6576309102</v>
      </c>
      <c r="AC123" s="96">
        <f t="shared" si="26"/>
        <v>1803067.0373115891</v>
      </c>
      <c r="AD123" s="95">
        <f t="shared" si="26"/>
        <v>1975405.9185217305</v>
      </c>
      <c r="AE123" s="95">
        <f t="shared" si="26"/>
        <v>2153431.9828118067</v>
      </c>
      <c r="AF123" s="95">
        <f t="shared" si="26"/>
        <v>2337332.9072234551</v>
      </c>
      <c r="AG123" s="95">
        <f t="shared" si="26"/>
        <v>2527302.5621406883</v>
      </c>
      <c r="AH123" s="96">
        <f t="shared" si="26"/>
        <v>2723541.2156701898</v>
      </c>
    </row>
    <row r="124" spans="1:34">
      <c r="A124" s="48"/>
      <c r="C124" s="27" t="s">
        <v>47</v>
      </c>
      <c r="D124" s="95">
        <f t="shared" si="10"/>
        <v>-1100000</v>
      </c>
      <c r="E124" s="95">
        <f t="shared" ref="E124:AH124" si="27">D124+E$106*$G76</f>
        <v>-1014949.4345510002</v>
      </c>
      <c r="F124" s="95">
        <f t="shared" si="27"/>
        <v>-927092.20044218353</v>
      </c>
      <c r="G124" s="95">
        <f t="shared" si="27"/>
        <v>-836335.6776077759</v>
      </c>
      <c r="H124" s="95">
        <f t="shared" si="27"/>
        <v>-742584.18951983284</v>
      </c>
      <c r="I124" s="95">
        <f t="shared" si="27"/>
        <v>-645738.90232498758</v>
      </c>
      <c r="J124" s="95">
        <f t="shared" si="27"/>
        <v>-545697.72065271251</v>
      </c>
      <c r="K124" s="95">
        <f t="shared" si="27"/>
        <v>-442355.17998525233</v>
      </c>
      <c r="L124" s="95">
        <f t="shared" si="27"/>
        <v>-335602.33547576598</v>
      </c>
      <c r="M124" s="95">
        <f t="shared" si="27"/>
        <v>-225326.64709746657</v>
      </c>
      <c r="N124" s="95">
        <f t="shared" si="27"/>
        <v>-111411.86100268326</v>
      </c>
      <c r="O124" s="95">
        <f t="shared" si="27"/>
        <v>6262.113033227899</v>
      </c>
      <c r="P124" s="95">
        <f t="shared" si="27"/>
        <v>127819.32821232412</v>
      </c>
      <c r="Q124" s="95">
        <f t="shared" si="27"/>
        <v>253387.93149233051</v>
      </c>
      <c r="R124" s="95">
        <f t="shared" si="27"/>
        <v>383100.29868057708</v>
      </c>
      <c r="S124" s="95">
        <f t="shared" si="27"/>
        <v>517093.17398603581</v>
      </c>
      <c r="T124" s="95">
        <f t="shared" si="27"/>
        <v>655507.8141765747</v>
      </c>
      <c r="U124" s="95">
        <f t="shared" si="27"/>
        <v>798490.1374934013</v>
      </c>
      <c r="V124" s="95">
        <f t="shared" si="27"/>
        <v>946190.87747968326</v>
      </c>
      <c r="W124" s="95">
        <f t="shared" si="27"/>
        <v>1098765.7418855126</v>
      </c>
      <c r="X124" s="96">
        <f t="shared" si="27"/>
        <v>1256375.5768167342</v>
      </c>
      <c r="Y124" s="95">
        <f t="shared" si="27"/>
        <v>1419186.5363006862</v>
      </c>
      <c r="Z124" s="95">
        <f t="shared" si="27"/>
        <v>1587370.2574476085</v>
      </c>
      <c r="AA124" s="95">
        <f t="shared" si="27"/>
        <v>1761104.0413923792</v>
      </c>
      <c r="AB124" s="95">
        <f t="shared" si="27"/>
        <v>1940571.0402073273</v>
      </c>
      <c r="AC124" s="96">
        <f t="shared" si="27"/>
        <v>2125960.4499831689</v>
      </c>
      <c r="AD124" s="95">
        <f t="shared" si="27"/>
        <v>2317467.7102816133</v>
      </c>
      <c r="AE124" s="95">
        <f t="shared" si="27"/>
        <v>2515294.7101699063</v>
      </c>
      <c r="AF124" s="95">
        <f t="shared" si="27"/>
        <v>2719650.0010545128</v>
      </c>
      <c r="AG124" s="95">
        <f t="shared" si="27"/>
        <v>2930749.0165383113</v>
      </c>
      <c r="AH124" s="96">
        <f t="shared" si="27"/>
        <v>3148814.2995330752</v>
      </c>
    </row>
    <row r="125" spans="1:34">
      <c r="A125" s="48"/>
      <c r="C125" s="27" t="s">
        <v>48</v>
      </c>
      <c r="D125" s="95">
        <f t="shared" si="10"/>
        <v>-1100000</v>
      </c>
      <c r="E125" s="95">
        <f t="shared" ref="E125:AH125" si="28">D125+E$106*$G77</f>
        <v>-1002572.9394387393</v>
      </c>
      <c r="F125" s="95">
        <f t="shared" si="28"/>
        <v>-901930.78587895702</v>
      </c>
      <c r="G125" s="95">
        <f t="shared" si="28"/>
        <v>-797967.44125170191</v>
      </c>
      <c r="H125" s="95">
        <f t="shared" si="28"/>
        <v>-690573.30625174742</v>
      </c>
      <c r="I125" s="95">
        <f t="shared" si="28"/>
        <v>-579635.16479679442</v>
      </c>
      <c r="J125" s="95">
        <f t="shared" si="28"/>
        <v>-465036.06467382796</v>
      </c>
      <c r="K125" s="95">
        <f t="shared" si="28"/>
        <v>-346655.19424680364</v>
      </c>
      <c r="L125" s="95">
        <f t="shared" si="28"/>
        <v>-224367.75509568752</v>
      </c>
      <c r="M125" s="95">
        <f t="shared" si="28"/>
        <v>-98044.830452584574</v>
      </c>
      <c r="N125" s="95">
        <f t="shared" si="28"/>
        <v>32446.750703740778</v>
      </c>
      <c r="O125" s="95">
        <f t="shared" si="28"/>
        <v>167244.55403822486</v>
      </c>
      <c r="P125" s="95">
        <f t="shared" si="28"/>
        <v>306490.68488274689</v>
      </c>
      <c r="Q125" s="95">
        <f t="shared" si="28"/>
        <v>450331.93804513814</v>
      </c>
      <c r="R125" s="95">
        <f t="shared" si="28"/>
        <v>598919.95256188838</v>
      </c>
      <c r="S125" s="95">
        <f t="shared" si="28"/>
        <v>752411.37155769137</v>
      </c>
      <c r="T125" s="95">
        <f t="shared" si="28"/>
        <v>910968.00738035585</v>
      </c>
      <c r="U125" s="95">
        <f t="shared" si="28"/>
        <v>1074757.0121851682</v>
      </c>
      <c r="V125" s="95">
        <f t="shared" si="28"/>
        <v>1243951.0541485394</v>
      </c>
      <c r="W125" s="95">
        <f t="shared" si="28"/>
        <v>1418728.4994967019</v>
      </c>
      <c r="X125" s="96">
        <f t="shared" si="28"/>
        <v>1599273.6005413537</v>
      </c>
      <c r="Y125" s="95">
        <f t="shared" si="28"/>
        <v>1785776.689920479</v>
      </c>
      <c r="Z125" s="95">
        <f t="shared" si="28"/>
        <v>1978434.3812491153</v>
      </c>
      <c r="AA125" s="95">
        <f t="shared" si="28"/>
        <v>2177449.7763915965</v>
      </c>
      <c r="AB125" s="95">
        <f t="shared" si="28"/>
        <v>2383032.6795737799</v>
      </c>
      <c r="AC125" s="96">
        <f t="shared" si="28"/>
        <v>2595399.8185609751</v>
      </c>
      <c r="AD125" s="95">
        <f t="shared" si="28"/>
        <v>2814775.0731347478</v>
      </c>
      <c r="AE125" s="95">
        <f t="shared" si="28"/>
        <v>3041389.7111094552</v>
      </c>
      <c r="AF125" s="95">
        <f t="shared" si="28"/>
        <v>3275482.6321373279</v>
      </c>
      <c r="AG125" s="95">
        <f t="shared" si="28"/>
        <v>3517300.6195591204</v>
      </c>
      <c r="AH125" s="96">
        <f t="shared" si="28"/>
        <v>3767098.6005658321</v>
      </c>
    </row>
    <row r="126" spans="1:34">
      <c r="A126" s="48"/>
      <c r="C126" s="27" t="s">
        <v>49</v>
      </c>
      <c r="D126" s="95">
        <f t="shared" si="10"/>
        <v>-1100000</v>
      </c>
      <c r="E126" s="95">
        <f t="shared" ref="E126:AH126" si="29">D126+E$106*$G78</f>
        <v>-1010163.744597127</v>
      </c>
      <c r="F126" s="95">
        <f t="shared" si="29"/>
        <v>-917362.89276595903</v>
      </c>
      <c r="G126" s="95">
        <f t="shared" si="29"/>
        <v>-821499.61282436259</v>
      </c>
      <c r="H126" s="95">
        <f t="shared" si="29"/>
        <v>-722472.84464469342</v>
      </c>
      <c r="I126" s="95">
        <f t="shared" si="29"/>
        <v>-620178.19311509526</v>
      </c>
      <c r="J126" s="95">
        <f t="shared" si="29"/>
        <v>-514507.81808502029</v>
      </c>
      <c r="K126" s="95">
        <f t="shared" si="29"/>
        <v>-405350.32067895285</v>
      </c>
      <c r="L126" s="95">
        <f t="shared" si="29"/>
        <v>-292590.62585848523</v>
      </c>
      <c r="M126" s="95">
        <f t="shared" si="29"/>
        <v>-176109.86110894213</v>
      </c>
      <c r="N126" s="95">
        <f t="shared" si="29"/>
        <v>-55785.231122664132</v>
      </c>
      <c r="O126" s="95">
        <f t="shared" si="29"/>
        <v>68510.111653161046</v>
      </c>
      <c r="P126" s="95">
        <f t="shared" si="29"/>
        <v>196907.20074058845</v>
      </c>
      <c r="Q126" s="95">
        <f t="shared" si="29"/>
        <v>329541.39376790094</v>
      </c>
      <c r="R126" s="95">
        <f t="shared" si="29"/>
        <v>466552.51516511478</v>
      </c>
      <c r="S126" s="95">
        <f t="shared" si="29"/>
        <v>608085.0035684366</v>
      </c>
      <c r="T126" s="95">
        <f t="shared" si="29"/>
        <v>754288.0640890681</v>
      </c>
      <c r="U126" s="95">
        <f t="shared" si="29"/>
        <v>905315.82560688048</v>
      </c>
      <c r="V126" s="95">
        <f t="shared" si="29"/>
        <v>1061327.5032547805</v>
      </c>
      <c r="W126" s="95">
        <f t="shared" si="29"/>
        <v>1222487.5662650615</v>
      </c>
      <c r="X126" s="96">
        <f t="shared" si="29"/>
        <v>1388965.9113546815</v>
      </c>
      <c r="Y126" s="95">
        <f t="shared" si="29"/>
        <v>1560938.0418322589</v>
      </c>
      <c r="Z126" s="95">
        <f t="shared" si="29"/>
        <v>1738585.2526155966</v>
      </c>
      <c r="AA126" s="95">
        <f t="shared" si="29"/>
        <v>1922094.8213547845</v>
      </c>
      <c r="AB126" s="95">
        <f t="shared" si="29"/>
        <v>2111660.2058623657</v>
      </c>
      <c r="AC126" s="96">
        <f t="shared" si="29"/>
        <v>2307481.2480586967</v>
      </c>
      <c r="AD126" s="95">
        <f t="shared" si="29"/>
        <v>2509764.3846475068</v>
      </c>
      <c r="AE126" s="95">
        <f t="shared" si="29"/>
        <v>2718722.8647437477</v>
      </c>
      <c r="AF126" s="95">
        <f t="shared" si="29"/>
        <v>2934576.9746831646</v>
      </c>
      <c r="AG126" s="95">
        <f t="shared" si="29"/>
        <v>3157554.2702505821</v>
      </c>
      <c r="AH126" s="96">
        <f t="shared" si="29"/>
        <v>3387889.8165717246</v>
      </c>
    </row>
    <row r="127" spans="1:34">
      <c r="A127" s="48"/>
      <c r="C127" s="13" t="s">
        <v>50</v>
      </c>
      <c r="D127" s="95">
        <f t="shared" si="10"/>
        <v>-1100000</v>
      </c>
      <c r="E127" s="95">
        <f t="shared" ref="E127:AH127" si="30">D127+E$106*$G79</f>
        <v>-1001211.6874665706</v>
      </c>
      <c r="F127" s="95">
        <f t="shared" si="30"/>
        <v>-899163.36061953811</v>
      </c>
      <c r="G127" s="95">
        <f t="shared" si="30"/>
        <v>-793747.43898655346</v>
      </c>
      <c r="H127" s="95">
        <f t="shared" si="30"/>
        <v>-684852.79193968035</v>
      </c>
      <c r="I127" s="95">
        <f t="shared" si="30"/>
        <v>-572364.62154026038</v>
      </c>
      <c r="J127" s="95">
        <f t="shared" si="30"/>
        <v>-456164.3415176596</v>
      </c>
      <c r="K127" s="95">
        <f t="shared" si="30"/>
        <v>-336129.45225431299</v>
      </c>
      <c r="L127" s="95">
        <f t="shared" si="30"/>
        <v>-212133.41164527595</v>
      </c>
      <c r="M127" s="95">
        <f t="shared" si="30"/>
        <v>-84045.501696140695</v>
      </c>
      <c r="N127" s="95">
        <f t="shared" si="30"/>
        <v>48269.309281316018</v>
      </c>
      <c r="O127" s="95">
        <f t="shared" si="30"/>
        <v>184950.50902102882</v>
      </c>
      <c r="P127" s="95">
        <f t="shared" si="30"/>
        <v>326142.18835215212</v>
      </c>
      <c r="Q127" s="95">
        <f t="shared" si="30"/>
        <v>471993.19310120249</v>
      </c>
      <c r="R127" s="95">
        <f t="shared" si="30"/>
        <v>622657.28100697149</v>
      </c>
      <c r="S127" s="95">
        <f t="shared" si="30"/>
        <v>778293.28381363093</v>
      </c>
      <c r="T127" s="95">
        <f t="shared" si="30"/>
        <v>939065.27471291018</v>
      </c>
      <c r="U127" s="95">
        <f t="shared" si="30"/>
        <v>1105142.7413118656</v>
      </c>
      <c r="V127" s="95">
        <f t="shared" si="30"/>
        <v>1276700.7643085865</v>
      </c>
      <c r="W127" s="95">
        <f t="shared" si="30"/>
        <v>1453920.2020641991</v>
      </c>
      <c r="X127" s="96">
        <f t="shared" si="30"/>
        <v>1636987.8812657471</v>
      </c>
      <c r="Y127" s="95">
        <f t="shared" si="30"/>
        <v>1826096.7938809462</v>
      </c>
      <c r="Z127" s="95">
        <f t="shared" si="30"/>
        <v>2021446.3006124469</v>
      </c>
      <c r="AA127" s="95">
        <f t="shared" si="30"/>
        <v>2223242.3410660871</v>
      </c>
      <c r="AB127" s="95">
        <f t="shared" si="30"/>
        <v>2431697.6508546975</v>
      </c>
      <c r="AC127" s="96">
        <f t="shared" si="30"/>
        <v>2647031.985866332</v>
      </c>
      <c r="AD127" s="95">
        <f t="shared" si="30"/>
        <v>2869472.3539333502</v>
      </c>
      <c r="AE127" s="95">
        <f t="shared" si="30"/>
        <v>3099253.2541465801</v>
      </c>
      <c r="AF127" s="95">
        <f t="shared" si="30"/>
        <v>3336616.9240668467</v>
      </c>
      <c r="AG127" s="95">
        <f t="shared" si="30"/>
        <v>3581813.5950944819</v>
      </c>
      <c r="AH127" s="96">
        <f t="shared" si="30"/>
        <v>3835101.7562660291</v>
      </c>
    </row>
    <row r="128" spans="1:34" ht="25" customHeight="1">
      <c r="A128" s="48"/>
      <c r="C128" s="175" t="s">
        <v>111</v>
      </c>
      <c r="D128" s="175"/>
      <c r="E128" s="175"/>
      <c r="F128" s="175"/>
      <c r="P128" s="14"/>
      <c r="Q128"/>
    </row>
    <row r="129" spans="1:34" ht="30" customHeight="1">
      <c r="A129" s="48"/>
      <c r="C129" s="157" t="s">
        <v>109</v>
      </c>
      <c r="D129" s="157"/>
      <c r="E129" s="157"/>
      <c r="F129" s="157"/>
      <c r="P129" s="14"/>
      <c r="Q129"/>
    </row>
    <row r="130" spans="1:34">
      <c r="A130" s="48"/>
      <c r="C130" s="85" t="s">
        <v>108</v>
      </c>
      <c r="D130" s="85">
        <f>E22</f>
        <v>6.7000000000000004E-2</v>
      </c>
      <c r="E130" s="85">
        <f>D130</f>
        <v>6.7000000000000004E-2</v>
      </c>
      <c r="F130" s="86">
        <f>E130+E130*$E$23</f>
        <v>6.8339999999999998E-2</v>
      </c>
      <c r="G130" s="86">
        <f>F130+F130*$E$23</f>
        <v>6.9706799999999999E-2</v>
      </c>
      <c r="H130" s="86">
        <f>G130+G130*$E$23</f>
        <v>7.1100936000000003E-2</v>
      </c>
      <c r="I130" s="86">
        <f t="shared" ref="I130:AH130" si="31">H130+H130*$E$23</f>
        <v>7.2522954720000005E-2</v>
      </c>
      <c r="J130" s="86">
        <f t="shared" si="31"/>
        <v>7.3973413814400008E-2</v>
      </c>
      <c r="K130" s="86">
        <f t="shared" si="31"/>
        <v>7.5452882090688012E-2</v>
      </c>
      <c r="L130" s="86">
        <f t="shared" si="31"/>
        <v>7.6961939732501775E-2</v>
      </c>
      <c r="M130" s="86">
        <f t="shared" si="31"/>
        <v>7.8501178527151813E-2</v>
      </c>
      <c r="N130" s="86">
        <f t="shared" si="31"/>
        <v>8.0071202097694846E-2</v>
      </c>
      <c r="O130" s="86">
        <f t="shared" si="31"/>
        <v>8.1672626139648749E-2</v>
      </c>
      <c r="P130" s="86">
        <f t="shared" si="31"/>
        <v>8.3306078662441718E-2</v>
      </c>
      <c r="Q130" s="86">
        <f t="shared" si="31"/>
        <v>8.4972200235690548E-2</v>
      </c>
      <c r="R130" s="86">
        <f t="shared" si="31"/>
        <v>8.6671644240404355E-2</v>
      </c>
      <c r="S130" s="86">
        <f t="shared" si="31"/>
        <v>8.8405077125212436E-2</v>
      </c>
      <c r="T130" s="86">
        <f t="shared" si="31"/>
        <v>9.017317866771668E-2</v>
      </c>
      <c r="U130" s="86">
        <f t="shared" si="31"/>
        <v>9.1976642241071008E-2</v>
      </c>
      <c r="V130" s="86">
        <f t="shared" si="31"/>
        <v>9.3816175085892434E-2</v>
      </c>
      <c r="W130" s="86">
        <f t="shared" si="31"/>
        <v>9.5692498587610281E-2</v>
      </c>
      <c r="X130" s="86">
        <f t="shared" si="31"/>
        <v>9.7606348559362482E-2</v>
      </c>
      <c r="Y130" s="86">
        <f t="shared" si="31"/>
        <v>9.9558475530549737E-2</v>
      </c>
      <c r="Z130" s="86">
        <f t="shared" si="31"/>
        <v>0.10154964504116074</v>
      </c>
      <c r="AA130" s="86">
        <f t="shared" si="31"/>
        <v>0.10358063794198395</v>
      </c>
      <c r="AB130" s="86">
        <f t="shared" si="31"/>
        <v>0.10565225070082362</v>
      </c>
      <c r="AC130" s="86">
        <f t="shared" si="31"/>
        <v>0.1077652957148401</v>
      </c>
      <c r="AD130" s="86">
        <f t="shared" si="31"/>
        <v>0.1099206016291369</v>
      </c>
      <c r="AE130" s="86">
        <f t="shared" si="31"/>
        <v>0.11211901366171964</v>
      </c>
      <c r="AF130" s="86">
        <f t="shared" si="31"/>
        <v>0.11436139393495404</v>
      </c>
      <c r="AG130" s="86">
        <f t="shared" si="31"/>
        <v>0.11664862181365311</v>
      </c>
      <c r="AH130" s="86">
        <f t="shared" si="31"/>
        <v>0.11898159424992617</v>
      </c>
    </row>
    <row r="131" spans="1:34">
      <c r="A131" s="48"/>
      <c r="C131" s="12" t="s">
        <v>110</v>
      </c>
      <c r="D131" s="12">
        <v>0</v>
      </c>
      <c r="E131" s="12">
        <v>1</v>
      </c>
      <c r="F131" s="12">
        <v>2</v>
      </c>
      <c r="G131" s="12">
        <v>3</v>
      </c>
      <c r="H131" s="12">
        <v>4</v>
      </c>
      <c r="I131" s="12">
        <v>5</v>
      </c>
      <c r="J131" s="12">
        <v>6</v>
      </c>
      <c r="K131" s="12">
        <v>7</v>
      </c>
      <c r="L131" s="12">
        <v>8</v>
      </c>
      <c r="M131" s="12">
        <v>9</v>
      </c>
      <c r="N131" s="12">
        <v>10</v>
      </c>
      <c r="O131" s="12">
        <v>11</v>
      </c>
      <c r="P131" s="58">
        <v>12</v>
      </c>
      <c r="Q131" s="12">
        <v>13</v>
      </c>
      <c r="R131" s="12">
        <v>14</v>
      </c>
      <c r="S131" s="12">
        <v>15</v>
      </c>
      <c r="T131" s="12">
        <v>16</v>
      </c>
      <c r="U131" s="12">
        <v>17</v>
      </c>
      <c r="V131" s="12">
        <v>18</v>
      </c>
      <c r="W131" s="12">
        <v>19</v>
      </c>
      <c r="X131" s="12">
        <v>20</v>
      </c>
      <c r="Y131" s="12">
        <v>21</v>
      </c>
      <c r="Z131" s="12">
        <v>22</v>
      </c>
      <c r="AA131" s="12">
        <v>23</v>
      </c>
      <c r="AB131" s="12">
        <v>24</v>
      </c>
      <c r="AC131" s="12">
        <v>25</v>
      </c>
      <c r="AD131" s="12">
        <v>26</v>
      </c>
      <c r="AE131" s="12">
        <v>27</v>
      </c>
      <c r="AF131" s="12">
        <v>28</v>
      </c>
      <c r="AG131" s="12">
        <v>29</v>
      </c>
      <c r="AH131" s="12">
        <v>30</v>
      </c>
    </row>
    <row r="132" spans="1:34">
      <c r="A132" s="48"/>
      <c r="C132" s="92" t="str">
        <f>C108</f>
        <v>Town, USA</v>
      </c>
      <c r="D132" s="51">
        <f t="shared" ref="D132:D151" si="32">-$G$82</f>
        <v>-2700000</v>
      </c>
      <c r="E132" s="51">
        <f t="shared" ref="E132:AH132" si="33">D132+$F60*E$130</f>
        <v>-2296029.3746038801</v>
      </c>
      <c r="F132" s="51">
        <f t="shared" si="33"/>
        <v>-1883979.3366998376</v>
      </c>
      <c r="G132" s="51">
        <f t="shared" si="33"/>
        <v>-1463688.2980377143</v>
      </c>
      <c r="H132" s="51">
        <f t="shared" si="33"/>
        <v>-1034991.4386023486</v>
      </c>
      <c r="I132" s="51">
        <f t="shared" si="33"/>
        <v>-597720.6419782755</v>
      </c>
      <c r="J132" s="51">
        <f t="shared" si="33"/>
        <v>-151704.42942172091</v>
      </c>
      <c r="K132" s="51">
        <f t="shared" si="33"/>
        <v>303232.10738596483</v>
      </c>
      <c r="L132" s="51">
        <f t="shared" si="33"/>
        <v>767267.37492980435</v>
      </c>
      <c r="M132" s="51">
        <f t="shared" si="33"/>
        <v>1240583.3478245207</v>
      </c>
      <c r="N132" s="51">
        <f t="shared" si="33"/>
        <v>1723365.6401771312</v>
      </c>
      <c r="O132" s="51">
        <f t="shared" si="33"/>
        <v>2215803.5783767942</v>
      </c>
      <c r="P132" s="51">
        <f t="shared" si="33"/>
        <v>2718090.2753404505</v>
      </c>
      <c r="Q132" s="51">
        <f t="shared" si="33"/>
        <v>3230422.7062433795</v>
      </c>
      <c r="R132" s="51">
        <f t="shared" si="33"/>
        <v>3753001.7857643673</v>
      </c>
      <c r="S132" s="51">
        <f t="shared" si="33"/>
        <v>4286032.4468757752</v>
      </c>
      <c r="T132" s="51">
        <f t="shared" si="33"/>
        <v>4829723.7212094106</v>
      </c>
      <c r="U132" s="51">
        <f t="shared" si="33"/>
        <v>5384288.821029719</v>
      </c>
      <c r="V132" s="51">
        <f t="shared" si="33"/>
        <v>5949945.2228464335</v>
      </c>
      <c r="W132" s="51">
        <f t="shared" si="33"/>
        <v>6526914.7526994823</v>
      </c>
      <c r="X132" s="78">
        <f t="shared" si="33"/>
        <v>7115423.6731495922</v>
      </c>
      <c r="Y132" s="51">
        <f t="shared" si="33"/>
        <v>7715702.772008704</v>
      </c>
      <c r="Z132" s="51">
        <f t="shared" si="33"/>
        <v>8327987.4528449979</v>
      </c>
      <c r="AA132" s="51">
        <f t="shared" si="33"/>
        <v>8952517.8272980172</v>
      </c>
      <c r="AB132" s="51">
        <f t="shared" si="33"/>
        <v>9589538.8092400972</v>
      </c>
      <c r="AC132" s="78">
        <f t="shared" si="33"/>
        <v>10239300.210821019</v>
      </c>
      <c r="AD132" s="51">
        <f t="shared" si="33"/>
        <v>10902056.84043356</v>
      </c>
      <c r="AE132" s="51">
        <f t="shared" si="33"/>
        <v>11578068.602638351</v>
      </c>
      <c r="AF132" s="51">
        <f t="shared" si="33"/>
        <v>12267600.600087238</v>
      </c>
      <c r="AG132" s="51">
        <f t="shared" si="33"/>
        <v>12970923.237485103</v>
      </c>
      <c r="AH132" s="78">
        <f t="shared" si="33"/>
        <v>13688312.327630926</v>
      </c>
    </row>
    <row r="133" spans="1:34">
      <c r="A133" s="48"/>
      <c r="C133" s="93" t="str">
        <f>C109</f>
        <v>City, USA</v>
      </c>
      <c r="D133" s="51">
        <f t="shared" si="32"/>
        <v>-2700000</v>
      </c>
      <c r="E133" s="51">
        <f t="shared" ref="E133:AH133" si="34">D133+$F61*E$130</f>
        <v>-2292882.2629998</v>
      </c>
      <c r="F133" s="51">
        <f t="shared" si="34"/>
        <v>-1877622.1712595965</v>
      </c>
      <c r="G133" s="51">
        <f t="shared" si="34"/>
        <v>-1454056.8776845888</v>
      </c>
      <c r="H133" s="51">
        <f t="shared" si="34"/>
        <v>-1022020.2782380808</v>
      </c>
      <c r="I133" s="51">
        <f t="shared" si="34"/>
        <v>-581342.94680264266</v>
      </c>
      <c r="J133" s="51">
        <f t="shared" si="34"/>
        <v>-131852.06873849576</v>
      </c>
      <c r="K133" s="51">
        <f t="shared" si="34"/>
        <v>326628.6268869341</v>
      </c>
      <c r="L133" s="51">
        <f t="shared" si="34"/>
        <v>794278.93642487261</v>
      </c>
      <c r="M133" s="51">
        <f t="shared" si="34"/>
        <v>1271282.2521535698</v>
      </c>
      <c r="N133" s="51">
        <f t="shared" si="34"/>
        <v>1757825.6341968412</v>
      </c>
      <c r="O133" s="51">
        <f t="shared" si="34"/>
        <v>2254099.883880978</v>
      </c>
      <c r="P133" s="51">
        <f t="shared" si="34"/>
        <v>2760299.6185587975</v>
      </c>
      <c r="Q133" s="51">
        <f t="shared" si="34"/>
        <v>3276623.3479301734</v>
      </c>
      <c r="R133" s="51">
        <f t="shared" si="34"/>
        <v>3803273.5518889767</v>
      </c>
      <c r="S133" s="51">
        <f t="shared" si="34"/>
        <v>4340456.7599269561</v>
      </c>
      <c r="T133" s="51">
        <f t="shared" si="34"/>
        <v>4888383.6321256952</v>
      </c>
      <c r="U133" s="51">
        <f t="shared" si="34"/>
        <v>5447269.0417684084</v>
      </c>
      <c r="V133" s="51">
        <f t="shared" si="34"/>
        <v>6017332.1596039757</v>
      </c>
      <c r="W133" s="51">
        <f t="shared" si="34"/>
        <v>6598796.5397962546</v>
      </c>
      <c r="X133" s="78">
        <f t="shared" si="34"/>
        <v>7191890.2075923793</v>
      </c>
      <c r="Y133" s="51">
        <f t="shared" si="34"/>
        <v>7796845.7487444263</v>
      </c>
      <c r="Z133" s="51">
        <f t="shared" si="34"/>
        <v>8413900.4007195141</v>
      </c>
      <c r="AA133" s="51">
        <f t="shared" si="34"/>
        <v>9043296.1457341034</v>
      </c>
      <c r="AB133" s="51">
        <f t="shared" si="34"/>
        <v>9685279.8056489844</v>
      </c>
      <c r="AC133" s="78">
        <f t="shared" si="34"/>
        <v>10340103.138762163</v>
      </c>
      <c r="AD133" s="51">
        <f t="shared" si="34"/>
        <v>11008022.938537605</v>
      </c>
      <c r="AE133" s="51">
        <f t="shared" si="34"/>
        <v>11689301.134308558</v>
      </c>
      <c r="AF133" s="51">
        <f t="shared" si="34"/>
        <v>12384204.893994929</v>
      </c>
      <c r="AG133" s="51">
        <f t="shared" si="34"/>
        <v>13093006.728875028</v>
      </c>
      <c r="AH133" s="78">
        <f t="shared" si="34"/>
        <v>13815984.600452729</v>
      </c>
    </row>
    <row r="134" spans="1:34">
      <c r="A134" s="48"/>
      <c r="C134" s="12" t="s">
        <v>34</v>
      </c>
      <c r="D134" s="51">
        <f>-$G$82</f>
        <v>-2700000</v>
      </c>
      <c r="E134" s="51">
        <f t="shared" ref="E134:AH134" si="35">D134+$F62*E$130</f>
        <v>-2414901.7681555497</v>
      </c>
      <c r="F134" s="51">
        <f t="shared" si="35"/>
        <v>-2124101.5716742105</v>
      </c>
      <c r="G134" s="51">
        <f t="shared" si="35"/>
        <v>-1827485.3712632447</v>
      </c>
      <c r="H134" s="51">
        <f t="shared" si="35"/>
        <v>-1524936.8468440594</v>
      </c>
      <c r="I134" s="51">
        <f t="shared" si="35"/>
        <v>-1216337.3519364905</v>
      </c>
      <c r="J134" s="51">
        <f t="shared" si="35"/>
        <v>-901565.86713077012</v>
      </c>
      <c r="K134" s="51">
        <f t="shared" si="35"/>
        <v>-580498.95262893522</v>
      </c>
      <c r="L134" s="51">
        <f t="shared" si="35"/>
        <v>-253010.69983706373</v>
      </c>
      <c r="M134" s="51">
        <f t="shared" si="35"/>
        <v>81027.31801064522</v>
      </c>
      <c r="N134" s="51">
        <f t="shared" si="35"/>
        <v>421746.09621530835</v>
      </c>
      <c r="O134" s="51">
        <f t="shared" si="35"/>
        <v>769279.24998406484</v>
      </c>
      <c r="P134" s="51">
        <f t="shared" si="35"/>
        <v>1123763.0668281964</v>
      </c>
      <c r="Q134" s="51">
        <f t="shared" si="35"/>
        <v>1485336.5600092106</v>
      </c>
      <c r="R134" s="51">
        <f t="shared" si="35"/>
        <v>1854141.5230538449</v>
      </c>
      <c r="S134" s="51">
        <f t="shared" si="35"/>
        <v>2230322.5853593722</v>
      </c>
      <c r="T134" s="51">
        <f t="shared" si="35"/>
        <v>2614027.2689110097</v>
      </c>
      <c r="U134" s="51">
        <f t="shared" si="35"/>
        <v>3005406.0461336798</v>
      </c>
      <c r="V134" s="51">
        <f t="shared" si="35"/>
        <v>3404612.3989008036</v>
      </c>
      <c r="W134" s="51">
        <f t="shared" si="35"/>
        <v>3811802.8787232698</v>
      </c>
      <c r="X134" s="78">
        <f t="shared" si="35"/>
        <v>4227137.1681421855</v>
      </c>
      <c r="Y134" s="51">
        <f t="shared" si="35"/>
        <v>4650778.143349479</v>
      </c>
      <c r="Z134" s="51">
        <f t="shared" si="35"/>
        <v>5082891.9380609188</v>
      </c>
      <c r="AA134" s="51">
        <f t="shared" si="35"/>
        <v>5523648.0086665871</v>
      </c>
      <c r="AB134" s="51">
        <f t="shared" si="35"/>
        <v>5973219.2006843686</v>
      </c>
      <c r="AC134" s="78">
        <f t="shared" si="35"/>
        <v>6431781.8165425062</v>
      </c>
      <c r="AD134" s="51">
        <f t="shared" si="35"/>
        <v>6899515.6847178061</v>
      </c>
      <c r="AE134" s="51">
        <f t="shared" si="35"/>
        <v>7376604.2302566124</v>
      </c>
      <c r="AF134" s="51">
        <f t="shared" si="35"/>
        <v>7863234.546706195</v>
      </c>
      <c r="AG134" s="51">
        <f t="shared" si="35"/>
        <v>8359597.4694847688</v>
      </c>
      <c r="AH134" s="78">
        <f t="shared" si="35"/>
        <v>8865887.6507189143</v>
      </c>
    </row>
    <row r="135" spans="1:34">
      <c r="A135" s="48"/>
      <c r="C135" s="12" t="s">
        <v>35</v>
      </c>
      <c r="D135" s="51">
        <f t="shared" si="32"/>
        <v>-2700000</v>
      </c>
      <c r="E135" s="51">
        <f t="shared" ref="E135:AH135" si="36">D135+$F63*E$130</f>
        <v>-2416508.7777724871</v>
      </c>
      <c r="F135" s="51">
        <f t="shared" si="36"/>
        <v>-2127347.7311004242</v>
      </c>
      <c r="G135" s="51">
        <f t="shared" si="36"/>
        <v>-1832403.4634949199</v>
      </c>
      <c r="H135" s="51">
        <f t="shared" si="36"/>
        <v>-1531560.3105373057</v>
      </c>
      <c r="I135" s="51">
        <f t="shared" si="36"/>
        <v>-1224700.294520539</v>
      </c>
      <c r="J135" s="51">
        <f t="shared" si="36"/>
        <v>-911703.078183437</v>
      </c>
      <c r="K135" s="51">
        <f t="shared" si="36"/>
        <v>-592445.91751959291</v>
      </c>
      <c r="L135" s="51">
        <f t="shared" si="36"/>
        <v>-266803.6136424719</v>
      </c>
      <c r="M135" s="51">
        <f t="shared" si="36"/>
        <v>65351.536312191514</v>
      </c>
      <c r="N135" s="51">
        <f t="shared" si="36"/>
        <v>404149.78926594817</v>
      </c>
      <c r="O135" s="51">
        <f t="shared" si="36"/>
        <v>749724.00727877999</v>
      </c>
      <c r="P135" s="51">
        <f t="shared" si="36"/>
        <v>1102209.7096518683</v>
      </c>
      <c r="Q135" s="51">
        <f t="shared" si="36"/>
        <v>1461745.1260724184</v>
      </c>
      <c r="R135" s="51">
        <f t="shared" si="36"/>
        <v>1828471.2508213795</v>
      </c>
      <c r="S135" s="51">
        <f t="shared" si="36"/>
        <v>2202531.8980653198</v>
      </c>
      <c r="T135" s="51">
        <f t="shared" si="36"/>
        <v>2584073.7582541388</v>
      </c>
      <c r="U135" s="51">
        <f t="shared" si="36"/>
        <v>2973246.4556467342</v>
      </c>
      <c r="V135" s="51">
        <f t="shared" si="36"/>
        <v>3370202.6069871816</v>
      </c>
      <c r="W135" s="51">
        <f t="shared" si="36"/>
        <v>3775097.8813544381</v>
      </c>
      <c r="X135" s="78">
        <f t="shared" si="36"/>
        <v>4188091.0612090398</v>
      </c>
      <c r="Y135" s="51">
        <f t="shared" si="36"/>
        <v>4609344.1046607336</v>
      </c>
      <c r="Z135" s="51">
        <f t="shared" si="36"/>
        <v>5039022.2089814609</v>
      </c>
      <c r="AA135" s="51">
        <f t="shared" si="36"/>
        <v>5477293.8753886027</v>
      </c>
      <c r="AB135" s="51">
        <f t="shared" si="36"/>
        <v>5924330.9751238879</v>
      </c>
      <c r="AC135" s="78">
        <f t="shared" si="36"/>
        <v>6380308.8168538781</v>
      </c>
      <c r="AD135" s="51">
        <f t="shared" si="36"/>
        <v>6845406.2154184682</v>
      </c>
      <c r="AE135" s="51">
        <f t="shared" si="36"/>
        <v>7319805.5619543502</v>
      </c>
      <c r="AF135" s="51">
        <f t="shared" si="36"/>
        <v>7803692.8954209499</v>
      </c>
      <c r="AG135" s="51">
        <f t="shared" si="36"/>
        <v>8297257.9755568821</v>
      </c>
      <c r="AH135" s="78">
        <f t="shared" si="36"/>
        <v>8800694.3572955318</v>
      </c>
    </row>
    <row r="136" spans="1:34">
      <c r="A136" s="48"/>
      <c r="C136" s="12" t="s">
        <v>36</v>
      </c>
      <c r="D136" s="51">
        <f t="shared" si="32"/>
        <v>-2700000</v>
      </c>
      <c r="E136" s="51">
        <f t="shared" ref="E136:AH136" si="37">D136+$F64*E$130</f>
        <v>-2446834.3337686029</v>
      </c>
      <c r="F136" s="51">
        <f t="shared" si="37"/>
        <v>-2188605.3542125779</v>
      </c>
      <c r="G136" s="51">
        <f t="shared" si="37"/>
        <v>-1925211.7950654323</v>
      </c>
      <c r="H136" s="51">
        <f t="shared" si="37"/>
        <v>-1656550.3647353437</v>
      </c>
      <c r="I136" s="51">
        <f t="shared" si="37"/>
        <v>-1382515.7057986534</v>
      </c>
      <c r="J136" s="51">
        <f t="shared" si="37"/>
        <v>-1103000.3536832291</v>
      </c>
      <c r="K136" s="51">
        <f t="shared" si="37"/>
        <v>-817894.69452549634</v>
      </c>
      <c r="L136" s="51">
        <f t="shared" si="37"/>
        <v>-527086.92218460888</v>
      </c>
      <c r="M136" s="51">
        <f t="shared" si="37"/>
        <v>-230462.99439690373</v>
      </c>
      <c r="N136" s="51">
        <f t="shared" si="37"/>
        <v>72093.411946555483</v>
      </c>
      <c r="O136" s="51">
        <f t="shared" si="37"/>
        <v>380700.9464168839</v>
      </c>
      <c r="P136" s="51">
        <f t="shared" si="37"/>
        <v>695480.63157661888</v>
      </c>
      <c r="Q136" s="51">
        <f t="shared" si="37"/>
        <v>1016555.9104395485</v>
      </c>
      <c r="R136" s="51">
        <f t="shared" si="37"/>
        <v>1344052.6948797368</v>
      </c>
      <c r="S136" s="51">
        <f t="shared" si="37"/>
        <v>1678099.4150087289</v>
      </c>
      <c r="T136" s="51">
        <f t="shared" si="37"/>
        <v>2018827.0695403006</v>
      </c>
      <c r="U136" s="51">
        <f t="shared" si="37"/>
        <v>2366369.2771625039</v>
      </c>
      <c r="V136" s="51">
        <f t="shared" si="37"/>
        <v>2720862.3289371515</v>
      </c>
      <c r="W136" s="51">
        <f t="shared" si="37"/>
        <v>3082445.2417472918</v>
      </c>
      <c r="X136" s="78">
        <f t="shared" si="37"/>
        <v>3451259.812813635</v>
      </c>
      <c r="Y136" s="51">
        <f t="shared" si="37"/>
        <v>3827450.675301305</v>
      </c>
      <c r="Z136" s="51">
        <f t="shared" si="37"/>
        <v>4211165.3550387286</v>
      </c>
      <c r="AA136" s="51">
        <f t="shared" si="37"/>
        <v>4602554.3283709008</v>
      </c>
      <c r="AB136" s="51">
        <f t="shared" si="37"/>
        <v>5001771.0811697161</v>
      </c>
      <c r="AC136" s="78">
        <f t="shared" si="37"/>
        <v>5408972.1690245075</v>
      </c>
      <c r="AD136" s="51">
        <f t="shared" si="37"/>
        <v>5824317.278636395</v>
      </c>
      <c r="AE136" s="51">
        <f t="shared" si="37"/>
        <v>6247969.2904405203</v>
      </c>
      <c r="AF136" s="51">
        <f t="shared" si="37"/>
        <v>6680094.3424807275</v>
      </c>
      <c r="AG136" s="51">
        <f t="shared" si="37"/>
        <v>7120861.8955617389</v>
      </c>
      <c r="AH136" s="78">
        <f t="shared" si="37"/>
        <v>7570444.799704371</v>
      </c>
    </row>
    <row r="137" spans="1:34">
      <c r="A137" s="48"/>
      <c r="C137" s="12" t="s">
        <v>37</v>
      </c>
      <c r="D137" s="51">
        <f t="shared" si="32"/>
        <v>-2700000</v>
      </c>
      <c r="E137" s="51">
        <f t="shared" ref="E137:AH137" si="38">D137+$F65*E$130</f>
        <v>-2465900.3606599304</v>
      </c>
      <c r="F137" s="51">
        <f t="shared" si="38"/>
        <v>-2227118.7285330594</v>
      </c>
      <c r="G137" s="51">
        <f t="shared" si="38"/>
        <v>-1983561.463763651</v>
      </c>
      <c r="H137" s="51">
        <f t="shared" si="38"/>
        <v>-1735133.0536988545</v>
      </c>
      <c r="I137" s="51">
        <f t="shared" si="38"/>
        <v>-1481736.075432762</v>
      </c>
      <c r="J137" s="51">
        <f t="shared" si="38"/>
        <v>-1223271.1576013479</v>
      </c>
      <c r="K137" s="51">
        <f t="shared" si="38"/>
        <v>-959636.94141330535</v>
      </c>
      <c r="L137" s="51">
        <f t="shared" si="38"/>
        <v>-690730.0409015019</v>
      </c>
      <c r="M137" s="51">
        <f t="shared" si="38"/>
        <v>-416445.00237946241</v>
      </c>
      <c r="N137" s="51">
        <f t="shared" si="38"/>
        <v>-136674.26308698213</v>
      </c>
      <c r="O137" s="51">
        <f t="shared" si="38"/>
        <v>148691.89099134778</v>
      </c>
      <c r="P137" s="51">
        <f t="shared" si="38"/>
        <v>439765.36815124424</v>
      </c>
      <c r="Q137" s="51">
        <f t="shared" si="38"/>
        <v>736660.31485433865</v>
      </c>
      <c r="R137" s="51">
        <f t="shared" si="38"/>
        <v>1039493.1604914949</v>
      </c>
      <c r="S137" s="51">
        <f t="shared" si="38"/>
        <v>1348382.6630413942</v>
      </c>
      <c r="T137" s="51">
        <f t="shared" si="38"/>
        <v>1663449.9556422916</v>
      </c>
      <c r="U137" s="51">
        <f t="shared" si="38"/>
        <v>1984818.5940952068</v>
      </c>
      <c r="V137" s="51">
        <f t="shared" si="38"/>
        <v>2312614.6053171805</v>
      </c>
      <c r="W137" s="51">
        <f t="shared" si="38"/>
        <v>2646966.5367635936</v>
      </c>
      <c r="X137" s="78">
        <f t="shared" si="38"/>
        <v>2988005.506838935</v>
      </c>
      <c r="Y137" s="51">
        <f t="shared" si="38"/>
        <v>3335865.2563157831</v>
      </c>
      <c r="Z137" s="51">
        <f t="shared" si="38"/>
        <v>3690682.2007821682</v>
      </c>
      <c r="AA137" s="51">
        <f t="shared" si="38"/>
        <v>4052595.4841378811</v>
      </c>
      <c r="AB137" s="51">
        <f t="shared" si="38"/>
        <v>4421747.0331607079</v>
      </c>
      <c r="AC137" s="78">
        <f t="shared" si="38"/>
        <v>4798281.6131639918</v>
      </c>
      <c r="AD137" s="51">
        <f t="shared" si="38"/>
        <v>5182346.8847673414</v>
      </c>
      <c r="AE137" s="51">
        <f t="shared" si="38"/>
        <v>5574093.4618027573</v>
      </c>
      <c r="AF137" s="51">
        <f t="shared" si="38"/>
        <v>5973674.9703788823</v>
      </c>
      <c r="AG137" s="51">
        <f t="shared" si="38"/>
        <v>6381248.1091265297</v>
      </c>
      <c r="AH137" s="78">
        <f t="shared" si="38"/>
        <v>6796972.7106491299</v>
      </c>
    </row>
    <row r="138" spans="1:34">
      <c r="A138" s="48"/>
      <c r="C138" s="12" t="s">
        <v>38</v>
      </c>
      <c r="D138" s="51">
        <f t="shared" si="32"/>
        <v>-2700000</v>
      </c>
      <c r="E138" s="51">
        <f t="shared" ref="E138:AH138" si="39">D138+$F66*E$130</f>
        <v>-2324558.5869799317</v>
      </c>
      <c r="F138" s="51">
        <f t="shared" si="39"/>
        <v>-1941608.3456994619</v>
      </c>
      <c r="G138" s="51">
        <f t="shared" si="39"/>
        <v>-1550999.0995933828</v>
      </c>
      <c r="H138" s="51">
        <f t="shared" si="39"/>
        <v>-1152577.668565182</v>
      </c>
      <c r="I138" s="51">
        <f t="shared" si="39"/>
        <v>-746187.80891641718</v>
      </c>
      <c r="J138" s="51">
        <f t="shared" si="39"/>
        <v>-331670.15207467705</v>
      </c>
      <c r="K138" s="51">
        <f t="shared" si="39"/>
        <v>91137.857903897879</v>
      </c>
      <c r="L138" s="51">
        <f t="shared" si="39"/>
        <v>522402.02808204433</v>
      </c>
      <c r="M138" s="51">
        <f t="shared" si="39"/>
        <v>962291.48166375374</v>
      </c>
      <c r="N138" s="51">
        <f t="shared" si="39"/>
        <v>1410978.7243170973</v>
      </c>
      <c r="O138" s="51">
        <f t="shared" si="39"/>
        <v>1868639.7118235079</v>
      </c>
      <c r="P138" s="51">
        <f t="shared" si="39"/>
        <v>2335453.9190800465</v>
      </c>
      <c r="Q138" s="51">
        <f t="shared" si="39"/>
        <v>2811604.410481716</v>
      </c>
      <c r="R138" s="51">
        <f t="shared" si="39"/>
        <v>3297277.911711419</v>
      </c>
      <c r="S138" s="51">
        <f t="shared" si="39"/>
        <v>3792664.8829657156</v>
      </c>
      <c r="T138" s="51">
        <f t="shared" si="39"/>
        <v>4297959.5936450986</v>
      </c>
      <c r="U138" s="51">
        <f t="shared" si="39"/>
        <v>4813360.1985380687</v>
      </c>
      <c r="V138" s="51">
        <f t="shared" si="39"/>
        <v>5339068.8155288985</v>
      </c>
      <c r="W138" s="51">
        <f t="shared" si="39"/>
        <v>5875291.6048595449</v>
      </c>
      <c r="X138" s="78">
        <f t="shared" si="39"/>
        <v>6422238.8499768041</v>
      </c>
      <c r="Y138" s="51">
        <f t="shared" si="39"/>
        <v>6980125.0399964089</v>
      </c>
      <c r="Z138" s="51">
        <f t="shared" si="39"/>
        <v>7549168.9538164055</v>
      </c>
      <c r="AA138" s="51">
        <f t="shared" si="39"/>
        <v>8129593.7459128024</v>
      </c>
      <c r="AB138" s="51">
        <f t="shared" si="39"/>
        <v>8721627.0338511262</v>
      </c>
      <c r="AC138" s="78">
        <f t="shared" si="39"/>
        <v>9325500.9875482172</v>
      </c>
      <c r="AD138" s="51">
        <f t="shared" si="39"/>
        <v>9941452.4203192499</v>
      </c>
      <c r="AE138" s="51">
        <f t="shared" si="39"/>
        <v>10569722.881745704</v>
      </c>
      <c r="AF138" s="51">
        <f t="shared" si="39"/>
        <v>11210558.752400685</v>
      </c>
      <c r="AG138" s="51">
        <f t="shared" si="39"/>
        <v>11864211.340468768</v>
      </c>
      <c r="AH138" s="78">
        <f t="shared" si="39"/>
        <v>12530936.980298212</v>
      </c>
    </row>
    <row r="139" spans="1:34">
      <c r="A139" s="48"/>
      <c r="C139" s="12" t="s">
        <v>39</v>
      </c>
      <c r="D139" s="51">
        <f t="shared" si="32"/>
        <v>-2700000</v>
      </c>
      <c r="E139" s="51">
        <f t="shared" ref="E139:AH139" si="40">D139+$F67*E$130</f>
        <v>-2332895.5885236128</v>
      </c>
      <c r="F139" s="51">
        <f t="shared" si="40"/>
        <v>-1958449.0888176982</v>
      </c>
      <c r="G139" s="51">
        <f t="shared" si="40"/>
        <v>-1576513.6591176651</v>
      </c>
      <c r="H139" s="51">
        <f t="shared" si="40"/>
        <v>-1186939.5208236314</v>
      </c>
      <c r="I139" s="51">
        <f t="shared" si="40"/>
        <v>-789573.89976371708</v>
      </c>
      <c r="J139" s="51">
        <f t="shared" si="40"/>
        <v>-384260.96628260444</v>
      </c>
      <c r="K139" s="51">
        <f t="shared" si="40"/>
        <v>29158.22586813051</v>
      </c>
      <c r="L139" s="51">
        <f t="shared" si="40"/>
        <v>450845.80186188017</v>
      </c>
      <c r="M139" s="51">
        <f t="shared" si="40"/>
        <v>880967.1293755048</v>
      </c>
      <c r="N139" s="51">
        <f t="shared" si="40"/>
        <v>1319690.8834394019</v>
      </c>
      <c r="O139" s="51">
        <f t="shared" si="40"/>
        <v>1767189.1125845769</v>
      </c>
      <c r="P139" s="51">
        <f t="shared" si="40"/>
        <v>2223637.3063126556</v>
      </c>
      <c r="Q139" s="51">
        <f t="shared" si="40"/>
        <v>2689214.4639152959</v>
      </c>
      <c r="R139" s="51">
        <f t="shared" si="40"/>
        <v>3164103.1646699887</v>
      </c>
      <c r="S139" s="51">
        <f t="shared" si="40"/>
        <v>3648489.6394397756</v>
      </c>
      <c r="T139" s="51">
        <f t="shared" si="40"/>
        <v>4142563.843704958</v>
      </c>
      <c r="U139" s="51">
        <f t="shared" si="40"/>
        <v>4646519.5320554441</v>
      </c>
      <c r="V139" s="51">
        <f t="shared" si="40"/>
        <v>5160554.3341729399</v>
      </c>
      <c r="W139" s="51">
        <f t="shared" si="40"/>
        <v>5684869.8323327852</v>
      </c>
      <c r="X139" s="78">
        <f t="shared" si="40"/>
        <v>6219671.640455828</v>
      </c>
      <c r="Y139" s="51">
        <f t="shared" si="40"/>
        <v>6765169.484741332</v>
      </c>
      <c r="Z139" s="51">
        <f t="shared" si="40"/>
        <v>7321577.2859125454</v>
      </c>
      <c r="AA139" s="51">
        <f t="shared" si="40"/>
        <v>7889113.2431071829</v>
      </c>
      <c r="AB139" s="51">
        <f t="shared" si="40"/>
        <v>8467999.919445714</v>
      </c>
      <c r="AC139" s="78">
        <f t="shared" si="40"/>
        <v>9058464.3293110151</v>
      </c>
      <c r="AD139" s="51">
        <f t="shared" si="40"/>
        <v>9660738.0273736231</v>
      </c>
      <c r="AE139" s="51">
        <f t="shared" si="40"/>
        <v>10275057.199397482</v>
      </c>
      <c r="AF139" s="51">
        <f t="shared" si="40"/>
        <v>10901662.754861819</v>
      </c>
      <c r="AG139" s="51">
        <f t="shared" si="40"/>
        <v>11540800.421435442</v>
      </c>
      <c r="AH139" s="78">
        <f t="shared" si="40"/>
        <v>12192720.841340538</v>
      </c>
    </row>
    <row r="140" spans="1:34">
      <c r="A140" s="48"/>
      <c r="C140" s="12" t="s">
        <v>99</v>
      </c>
      <c r="D140" s="51">
        <f t="shared" si="32"/>
        <v>-2700000</v>
      </c>
      <c r="E140" s="51">
        <f t="shared" ref="E140:AH140" si="41">D140+$F68*E$130</f>
        <v>-2423428.3547281865</v>
      </c>
      <c r="F140" s="51">
        <f t="shared" si="41"/>
        <v>-2141325.276550937</v>
      </c>
      <c r="G140" s="51">
        <f t="shared" si="41"/>
        <v>-1853580.1368101425</v>
      </c>
      <c r="H140" s="51">
        <f t="shared" si="41"/>
        <v>-1560080.094274532</v>
      </c>
      <c r="I140" s="51">
        <f t="shared" si="41"/>
        <v>-1260710.0508882094</v>
      </c>
      <c r="J140" s="51">
        <f t="shared" si="41"/>
        <v>-955352.60663416027</v>
      </c>
      <c r="K140" s="51">
        <f t="shared" si="41"/>
        <v>-643888.01349503011</v>
      </c>
      <c r="L140" s="51">
        <f t="shared" si="41"/>
        <v>-326194.12849311734</v>
      </c>
      <c r="M140" s="51">
        <f t="shared" si="41"/>
        <v>-2146.3657911663176</v>
      </c>
      <c r="N140" s="51">
        <f t="shared" si="41"/>
        <v>328382.35216482374</v>
      </c>
      <c r="O140" s="51">
        <f t="shared" si="41"/>
        <v>665521.64447993366</v>
      </c>
      <c r="P140" s="51">
        <f t="shared" si="41"/>
        <v>1009403.7226413457</v>
      </c>
      <c r="Q140" s="51">
        <f t="shared" si="41"/>
        <v>1360163.4423659858</v>
      </c>
      <c r="R140" s="51">
        <f t="shared" si="41"/>
        <v>1717938.3564851189</v>
      </c>
      <c r="S140" s="51">
        <f t="shared" si="41"/>
        <v>2082868.7688866346</v>
      </c>
      <c r="T140" s="51">
        <f t="shared" si="41"/>
        <v>2455097.7895361804</v>
      </c>
      <c r="U140" s="51">
        <f t="shared" si="41"/>
        <v>2834771.3905987171</v>
      </c>
      <c r="V140" s="51">
        <f t="shared" si="41"/>
        <v>3222038.4636825048</v>
      </c>
      <c r="W140" s="51">
        <f t="shared" si="41"/>
        <v>3617050.8782279682</v>
      </c>
      <c r="X140" s="78">
        <f t="shared" si="41"/>
        <v>4019963.5410643406</v>
      </c>
      <c r="Y140" s="51">
        <f t="shared" si="41"/>
        <v>4430934.4571574405</v>
      </c>
      <c r="Z140" s="51">
        <f t="shared" si="41"/>
        <v>4850124.7915724022</v>
      </c>
      <c r="AA140" s="51">
        <f t="shared" si="41"/>
        <v>5277698.9326756634</v>
      </c>
      <c r="AB140" s="51">
        <f t="shared" si="41"/>
        <v>5713824.5566009898</v>
      </c>
      <c r="AC140" s="78">
        <f t="shared" si="41"/>
        <v>6158672.6930048233</v>
      </c>
      <c r="AD140" s="51">
        <f t="shared" si="41"/>
        <v>6612417.7921367334</v>
      </c>
      <c r="AE140" s="51">
        <f t="shared" si="41"/>
        <v>7075237.7932512816</v>
      </c>
      <c r="AF140" s="51">
        <f t="shared" si="41"/>
        <v>7547314.1943881204</v>
      </c>
      <c r="AG140" s="51">
        <f t="shared" si="41"/>
        <v>8028832.1235476965</v>
      </c>
      <c r="AH140" s="78">
        <f t="shared" si="41"/>
        <v>8519980.4112904631</v>
      </c>
    </row>
    <row r="141" spans="1:34">
      <c r="A141" s="48"/>
      <c r="C141" s="12" t="s">
        <v>40</v>
      </c>
      <c r="D141" s="51">
        <f t="shared" si="32"/>
        <v>-2700000</v>
      </c>
      <c r="E141" s="51">
        <f t="shared" ref="E141:AH141" si="42">D141+$F69*E$130</f>
        <v>-2439349.7571933363</v>
      </c>
      <c r="F141" s="51">
        <f t="shared" si="42"/>
        <v>-2173486.5095305392</v>
      </c>
      <c r="G141" s="51">
        <f t="shared" si="42"/>
        <v>-1902305.9969144859</v>
      </c>
      <c r="H141" s="51">
        <f t="shared" si="42"/>
        <v>-1625701.8740461117</v>
      </c>
      <c r="I141" s="51">
        <f t="shared" si="42"/>
        <v>-1343565.6687203702</v>
      </c>
      <c r="J141" s="51">
        <f t="shared" si="42"/>
        <v>-1055786.7392881135</v>
      </c>
      <c r="K141" s="51">
        <f t="shared" si="42"/>
        <v>-762252.23126721196</v>
      </c>
      <c r="L141" s="51">
        <f t="shared" si="42"/>
        <v>-462847.03308589227</v>
      </c>
      <c r="M141" s="51">
        <f t="shared" si="42"/>
        <v>-157453.7309409462</v>
      </c>
      <c r="N141" s="51">
        <f t="shared" si="42"/>
        <v>154047.43724689877</v>
      </c>
      <c r="O141" s="51">
        <f t="shared" si="42"/>
        <v>471778.62879850069</v>
      </c>
      <c r="P141" s="51">
        <f t="shared" si="42"/>
        <v>795864.44418113469</v>
      </c>
      <c r="Q141" s="51">
        <f t="shared" si="42"/>
        <v>1126431.9758714214</v>
      </c>
      <c r="R141" s="51">
        <f t="shared" si="42"/>
        <v>1463610.8581955137</v>
      </c>
      <c r="S141" s="51">
        <f t="shared" si="42"/>
        <v>1807533.3181660878</v>
      </c>
      <c r="T141" s="51">
        <f t="shared" si="42"/>
        <v>2158334.2273360733</v>
      </c>
      <c r="U141" s="51">
        <f t="shared" si="42"/>
        <v>2516151.1546894587</v>
      </c>
      <c r="V141" s="51">
        <f t="shared" si="42"/>
        <v>2881124.4205899118</v>
      </c>
      <c r="W141" s="51">
        <f t="shared" si="42"/>
        <v>3253397.1518083736</v>
      </c>
      <c r="X141" s="78">
        <f t="shared" si="42"/>
        <v>3633115.3376512048</v>
      </c>
      <c r="Y141" s="51">
        <f t="shared" si="42"/>
        <v>4020427.8872108925</v>
      </c>
      <c r="Z141" s="51">
        <f t="shared" si="42"/>
        <v>4415486.6877617743</v>
      </c>
      <c r="AA141" s="51">
        <f t="shared" si="42"/>
        <v>4818446.6643236736</v>
      </c>
      <c r="AB141" s="51">
        <f t="shared" si="42"/>
        <v>5229465.8404168105</v>
      </c>
      <c r="AC141" s="78">
        <f t="shared" si="42"/>
        <v>5648705.4000318106</v>
      </c>
      <c r="AD141" s="51">
        <f t="shared" si="42"/>
        <v>6076329.7508391105</v>
      </c>
      <c r="AE141" s="51">
        <f t="shared" si="42"/>
        <v>6512506.5886625564</v>
      </c>
      <c r="AF141" s="51">
        <f t="shared" si="42"/>
        <v>6957406.9632424712</v>
      </c>
      <c r="AG141" s="51">
        <f t="shared" si="42"/>
        <v>7411205.3453139849</v>
      </c>
      <c r="AH141" s="78">
        <f t="shared" si="42"/>
        <v>7874079.6950269286</v>
      </c>
    </row>
    <row r="142" spans="1:34">
      <c r="A142" s="48"/>
      <c r="C142" s="12" t="s">
        <v>41</v>
      </c>
      <c r="D142" s="51">
        <f t="shared" si="32"/>
        <v>-2700000</v>
      </c>
      <c r="E142" s="51">
        <f t="shared" ref="E142:AH142" si="43">D142+$F70*E$130</f>
        <v>-2386309.1784615959</v>
      </c>
      <c r="F142" s="51">
        <f t="shared" si="43"/>
        <v>-2066344.5404924236</v>
      </c>
      <c r="G142" s="51">
        <f t="shared" si="43"/>
        <v>-1739980.6097638677</v>
      </c>
      <c r="H142" s="51">
        <f t="shared" si="43"/>
        <v>-1407089.4004207407</v>
      </c>
      <c r="I142" s="51">
        <f t="shared" si="43"/>
        <v>-1067540.3668907513</v>
      </c>
      <c r="J142" s="51">
        <f t="shared" si="43"/>
        <v>-721200.35269016202</v>
      </c>
      <c r="K142" s="51">
        <f t="shared" si="43"/>
        <v>-367933.53820556094</v>
      </c>
      <c r="L142" s="51">
        <f t="shared" si="43"/>
        <v>-7601.3874312678236</v>
      </c>
      <c r="M142" s="51">
        <f t="shared" si="43"/>
        <v>359937.40635851113</v>
      </c>
      <c r="N142" s="51">
        <f t="shared" si="43"/>
        <v>734826.97602408566</v>
      </c>
      <c r="O142" s="51">
        <f t="shared" si="43"/>
        <v>1117214.3370829718</v>
      </c>
      <c r="P142" s="51">
        <f t="shared" si="43"/>
        <v>1507249.4453630357</v>
      </c>
      <c r="Q142" s="51">
        <f t="shared" si="43"/>
        <v>1905085.2558087008</v>
      </c>
      <c r="R142" s="51">
        <f t="shared" si="43"/>
        <v>2310877.7824632791</v>
      </c>
      <c r="S142" s="51">
        <f t="shared" si="43"/>
        <v>2724786.1596509488</v>
      </c>
      <c r="T142" s="51">
        <f t="shared" si="43"/>
        <v>3146972.7043823721</v>
      </c>
      <c r="U142" s="51">
        <f t="shared" si="43"/>
        <v>3577602.9800084238</v>
      </c>
      <c r="V142" s="51">
        <f t="shared" si="43"/>
        <v>4016845.8611469967</v>
      </c>
      <c r="W142" s="51">
        <f t="shared" si="43"/>
        <v>4464873.5999083407</v>
      </c>
      <c r="X142" s="78">
        <f t="shared" si="43"/>
        <v>4921861.8934449116</v>
      </c>
      <c r="Y142" s="51">
        <f t="shared" si="43"/>
        <v>5387989.9528522138</v>
      </c>
      <c r="Z142" s="51">
        <f t="shared" si="43"/>
        <v>5863440.5734476624</v>
      </c>
      <c r="AA142" s="51">
        <f t="shared" si="43"/>
        <v>6348400.2064550202</v>
      </c>
      <c r="AB142" s="51">
        <f t="shared" si="43"/>
        <v>6843059.0321225245</v>
      </c>
      <c r="AC142" s="78">
        <f t="shared" si="43"/>
        <v>7347611.0343033792</v>
      </c>
      <c r="AD142" s="51">
        <f t="shared" si="43"/>
        <v>7862254.0765278507</v>
      </c>
      <c r="AE142" s="51">
        <f t="shared" si="43"/>
        <v>8387189.9795968123</v>
      </c>
      <c r="AF142" s="51">
        <f t="shared" si="43"/>
        <v>8922624.6007271521</v>
      </c>
      <c r="AG142" s="51">
        <f t="shared" si="43"/>
        <v>9468767.9142800998</v>
      </c>
      <c r="AH142" s="78">
        <f t="shared" si="43"/>
        <v>10025834.094104106</v>
      </c>
    </row>
    <row r="143" spans="1:34">
      <c r="A143" s="48"/>
      <c r="C143" s="12" t="s">
        <v>42</v>
      </c>
      <c r="D143" s="51">
        <f t="shared" si="32"/>
        <v>-2700000</v>
      </c>
      <c r="E143" s="51">
        <f t="shared" ref="E143:AH143" si="44">D143+$F71*E$130</f>
        <v>-2354310.1970253489</v>
      </c>
      <c r="F143" s="51">
        <f t="shared" si="44"/>
        <v>-2001706.5979912048</v>
      </c>
      <c r="G143" s="51">
        <f t="shared" si="44"/>
        <v>-1642050.9269763778</v>
      </c>
      <c r="H143" s="51">
        <f t="shared" si="44"/>
        <v>-1275202.1425412542</v>
      </c>
      <c r="I143" s="51">
        <f t="shared" si="44"/>
        <v>-901016.38241742807</v>
      </c>
      <c r="J143" s="51">
        <f t="shared" si="44"/>
        <v>-519346.90709112544</v>
      </c>
      <c r="K143" s="51">
        <f t="shared" si="44"/>
        <v>-130044.04225829674</v>
      </c>
      <c r="L143" s="51">
        <f t="shared" si="44"/>
        <v>267044.87987118855</v>
      </c>
      <c r="M143" s="51">
        <f t="shared" si="44"/>
        <v>672075.58044326352</v>
      </c>
      <c r="N143" s="51">
        <f t="shared" si="44"/>
        <v>1085206.89502678</v>
      </c>
      <c r="O143" s="51">
        <f t="shared" si="44"/>
        <v>1506600.8359019668</v>
      </c>
      <c r="P143" s="51">
        <f t="shared" si="44"/>
        <v>1936422.6555946574</v>
      </c>
      <c r="Q143" s="51">
        <f t="shared" si="44"/>
        <v>2374840.9116812018</v>
      </c>
      <c r="R143" s="51">
        <f t="shared" si="44"/>
        <v>2822027.532889477</v>
      </c>
      <c r="S143" s="51">
        <f t="shared" si="44"/>
        <v>3278157.8865219178</v>
      </c>
      <c r="T143" s="51">
        <f t="shared" si="44"/>
        <v>3743410.8472270072</v>
      </c>
      <c r="U143" s="51">
        <f t="shared" si="44"/>
        <v>4217968.8671461986</v>
      </c>
      <c r="V143" s="51">
        <f t="shared" si="44"/>
        <v>4702018.0474637737</v>
      </c>
      <c r="W143" s="51">
        <f t="shared" si="44"/>
        <v>5195748.2113877004</v>
      </c>
      <c r="X143" s="78">
        <f t="shared" si="44"/>
        <v>5699352.9785901057</v>
      </c>
      <c r="Y143" s="51">
        <f t="shared" si="44"/>
        <v>6213029.8411365589</v>
      </c>
      <c r="Z143" s="51">
        <f t="shared" si="44"/>
        <v>6736980.2409339417</v>
      </c>
      <c r="AA143" s="51">
        <f t="shared" si="44"/>
        <v>7271409.6487272717</v>
      </c>
      <c r="AB143" s="51">
        <f t="shared" si="44"/>
        <v>7816527.6446764683</v>
      </c>
      <c r="AC143" s="78">
        <f t="shared" si="44"/>
        <v>8372548.0005446486</v>
      </c>
      <c r="AD143" s="51">
        <f t="shared" si="44"/>
        <v>8939688.7635301929</v>
      </c>
      <c r="AE143" s="51">
        <f t="shared" si="44"/>
        <v>9518172.3417754471</v>
      </c>
      <c r="AF143" s="51">
        <f t="shared" si="44"/>
        <v>10108225.591585606</v>
      </c>
      <c r="AG143" s="51">
        <f t="shared" si="44"/>
        <v>10710079.906391969</v>
      </c>
      <c r="AH143" s="78">
        <f t="shared" si="44"/>
        <v>11323971.30749446</v>
      </c>
    </row>
    <row r="144" spans="1:34">
      <c r="A144" s="48"/>
      <c r="C144" s="12" t="s">
        <v>43</v>
      </c>
      <c r="D144" s="51">
        <f t="shared" si="32"/>
        <v>-2700000</v>
      </c>
      <c r="E144" s="51">
        <f t="shared" ref="E144:AH144" si="45">D144+$F72*E$130</f>
        <v>-2519686.6510250345</v>
      </c>
      <c r="F144" s="51">
        <f t="shared" si="45"/>
        <v>-2335767.0350705697</v>
      </c>
      <c r="G144" s="51">
        <f t="shared" si="45"/>
        <v>-2148169.0267970157</v>
      </c>
      <c r="H144" s="51">
        <f t="shared" si="45"/>
        <v>-1956819.0583579903</v>
      </c>
      <c r="I144" s="51">
        <f t="shared" si="45"/>
        <v>-1761642.0905501845</v>
      </c>
      <c r="J144" s="51">
        <f t="shared" si="45"/>
        <v>-1562561.5833862226</v>
      </c>
      <c r="K144" s="51">
        <f t="shared" si="45"/>
        <v>-1359499.4660789815</v>
      </c>
      <c r="L144" s="51">
        <f t="shared" si="45"/>
        <v>-1152376.1064255955</v>
      </c>
      <c r="M144" s="51">
        <f t="shared" si="45"/>
        <v>-941110.27957914176</v>
      </c>
      <c r="N144" s="51">
        <f t="shared" si="45"/>
        <v>-725619.13619575894</v>
      </c>
      <c r="O144" s="51">
        <f t="shared" si="45"/>
        <v>-505818.16994470847</v>
      </c>
      <c r="P144" s="51">
        <f t="shared" si="45"/>
        <v>-281621.18436863704</v>
      </c>
      <c r="Q144" s="51">
        <f t="shared" si="45"/>
        <v>-52940.259081044147</v>
      </c>
      <c r="R144" s="51">
        <f t="shared" si="45"/>
        <v>180314.28471230058</v>
      </c>
      <c r="S144" s="51">
        <f t="shared" si="45"/>
        <v>418233.91938151221</v>
      </c>
      <c r="T144" s="51">
        <f t="shared" si="45"/>
        <v>660911.94674410811</v>
      </c>
      <c r="U144" s="51">
        <f t="shared" si="45"/>
        <v>908443.53465395584</v>
      </c>
      <c r="V144" s="51">
        <f t="shared" si="45"/>
        <v>1160925.7543220005</v>
      </c>
      <c r="W144" s="51">
        <f t="shared" si="45"/>
        <v>1418457.6183834062</v>
      </c>
      <c r="X144" s="78">
        <f t="shared" si="45"/>
        <v>1681140.1197260399</v>
      </c>
      <c r="Y144" s="51">
        <f t="shared" si="45"/>
        <v>1949076.2710955264</v>
      </c>
      <c r="Z144" s="51">
        <f t="shared" si="45"/>
        <v>2222371.1454924024</v>
      </c>
      <c r="AA144" s="51">
        <f t="shared" si="45"/>
        <v>2501131.9173772158</v>
      </c>
      <c r="AB144" s="51">
        <f t="shared" si="45"/>
        <v>2785467.9046997256</v>
      </c>
      <c r="AC144" s="78">
        <f t="shared" si="45"/>
        <v>3075490.6117686857</v>
      </c>
      <c r="AD144" s="51">
        <f t="shared" si="45"/>
        <v>3371313.7729790248</v>
      </c>
      <c r="AE144" s="51">
        <f t="shared" si="45"/>
        <v>3673053.3974135709</v>
      </c>
      <c r="AF144" s="51">
        <f t="shared" si="45"/>
        <v>3980827.8143368079</v>
      </c>
      <c r="AG144" s="51">
        <f t="shared" si="45"/>
        <v>4294757.7195985094</v>
      </c>
      <c r="AH144" s="78">
        <f t="shared" si="45"/>
        <v>4614966.2229654454</v>
      </c>
    </row>
    <row r="145" spans="1:34">
      <c r="A145" s="48"/>
      <c r="C145" s="12" t="s">
        <v>44</v>
      </c>
      <c r="D145" s="51">
        <f t="shared" si="32"/>
        <v>-2700000</v>
      </c>
      <c r="E145" s="51">
        <f t="shared" ref="E145:AH145" si="46">D145+$F73*E$130</f>
        <v>-2384003.791196458</v>
      </c>
      <c r="F145" s="51">
        <f t="shared" si="46"/>
        <v>-2061687.6582168452</v>
      </c>
      <c r="G145" s="51">
        <f t="shared" si="46"/>
        <v>-1732925.2025776401</v>
      </c>
      <c r="H145" s="51">
        <f t="shared" si="46"/>
        <v>-1397587.4978256507</v>
      </c>
      <c r="I145" s="51">
        <f t="shared" si="46"/>
        <v>-1055543.0389786216</v>
      </c>
      <c r="J145" s="51">
        <f t="shared" si="46"/>
        <v>-706657.69095465192</v>
      </c>
      <c r="K145" s="51">
        <f t="shared" si="46"/>
        <v>-350794.6359702028</v>
      </c>
      <c r="L145" s="51">
        <f t="shared" si="46"/>
        <v>12185.680113935261</v>
      </c>
      <c r="M145" s="51">
        <f t="shared" si="46"/>
        <v>382425.60251975612</v>
      </c>
      <c r="N145" s="51">
        <f t="shared" si="46"/>
        <v>760070.32337369339</v>
      </c>
      <c r="O145" s="51">
        <f t="shared" si="46"/>
        <v>1145267.9386447095</v>
      </c>
      <c r="P145" s="51">
        <f t="shared" si="46"/>
        <v>1538169.5062211459</v>
      </c>
      <c r="Q145" s="51">
        <f t="shared" si="46"/>
        <v>1938929.1051491108</v>
      </c>
      <c r="R145" s="51">
        <f t="shared" si="46"/>
        <v>2347703.8960556351</v>
      </c>
      <c r="S145" s="51">
        <f t="shared" si="46"/>
        <v>2764654.18278029</v>
      </c>
      <c r="T145" s="51">
        <f t="shared" si="46"/>
        <v>3189943.475239438</v>
      </c>
      <c r="U145" s="51">
        <f t="shared" si="46"/>
        <v>3623738.5535477689</v>
      </c>
      <c r="V145" s="51">
        <f t="shared" si="46"/>
        <v>4066209.5334222661</v>
      </c>
      <c r="W145" s="51">
        <f t="shared" si="46"/>
        <v>4517529.9328942532</v>
      </c>
      <c r="X145" s="78">
        <f t="shared" si="46"/>
        <v>4977876.7403556807</v>
      </c>
      <c r="Y145" s="51">
        <f t="shared" si="46"/>
        <v>5447430.4839663366</v>
      </c>
      <c r="Z145" s="51">
        <f t="shared" si="46"/>
        <v>5926375.302449205</v>
      </c>
      <c r="AA145" s="51">
        <f t="shared" si="46"/>
        <v>6414899.0173017308</v>
      </c>
      <c r="AB145" s="51">
        <f t="shared" si="46"/>
        <v>6913193.2064513071</v>
      </c>
      <c r="AC145" s="78">
        <f t="shared" si="46"/>
        <v>7421453.2793838754</v>
      </c>
      <c r="AD145" s="51">
        <f t="shared" si="46"/>
        <v>7939878.5537750954</v>
      </c>
      <c r="AE145" s="51">
        <f t="shared" si="46"/>
        <v>8468672.3336541392</v>
      </c>
      <c r="AF145" s="51">
        <f t="shared" si="46"/>
        <v>9008041.9891307633</v>
      </c>
      <c r="AG145" s="51">
        <f t="shared" si="46"/>
        <v>9558199.0377169214</v>
      </c>
      <c r="AH145" s="78">
        <f t="shared" si="46"/>
        <v>10119359.227274802</v>
      </c>
    </row>
    <row r="146" spans="1:34">
      <c r="A146" s="48"/>
      <c r="C146" s="12" t="s">
        <v>45</v>
      </c>
      <c r="D146" s="51">
        <f t="shared" si="32"/>
        <v>-2700000</v>
      </c>
      <c r="E146" s="51">
        <f t="shared" ref="E146:AH146" si="47">D146+$F74*E$130</f>
        <v>-2272462.6935400059</v>
      </c>
      <c r="F146" s="51">
        <f t="shared" si="47"/>
        <v>-1836374.640950812</v>
      </c>
      <c r="G146" s="51">
        <f t="shared" si="47"/>
        <v>-1391564.8273098343</v>
      </c>
      <c r="H146" s="51">
        <f t="shared" si="47"/>
        <v>-937858.81739603705</v>
      </c>
      <c r="I146" s="51">
        <f t="shared" si="47"/>
        <v>-475078.68728396384</v>
      </c>
      <c r="J146" s="51">
        <f t="shared" si="47"/>
        <v>-3042.9545696491259</v>
      </c>
      <c r="K146" s="51">
        <f t="shared" si="47"/>
        <v>478433.49279895186</v>
      </c>
      <c r="L146" s="51">
        <f t="shared" si="47"/>
        <v>969539.4691149249</v>
      </c>
      <c r="M146" s="51">
        <f t="shared" si="47"/>
        <v>1470467.5649572173</v>
      </c>
      <c r="N146" s="51">
        <f t="shared" si="47"/>
        <v>1981414.2227163557</v>
      </c>
      <c r="O146" s="51">
        <f t="shared" si="47"/>
        <v>2502579.8136306768</v>
      </c>
      <c r="P146" s="51">
        <f t="shared" si="47"/>
        <v>3034168.7163632843</v>
      </c>
      <c r="Q146" s="51">
        <f t="shared" si="47"/>
        <v>3576389.397150544</v>
      </c>
      <c r="R146" s="51">
        <f t="shared" si="47"/>
        <v>4129454.4915535487</v>
      </c>
      <c r="S146" s="51">
        <f t="shared" si="47"/>
        <v>4693580.8878446138</v>
      </c>
      <c r="T146" s="51">
        <f t="shared" si="47"/>
        <v>5268989.8120614998</v>
      </c>
      <c r="U146" s="51">
        <f t="shared" si="47"/>
        <v>5855906.9147627233</v>
      </c>
      <c r="V146" s="51">
        <f t="shared" si="47"/>
        <v>6454562.359517972</v>
      </c>
      <c r="W146" s="51">
        <f t="shared" si="47"/>
        <v>7065190.9131683251</v>
      </c>
      <c r="X146" s="78">
        <f t="shared" si="47"/>
        <v>7688032.037891686</v>
      </c>
      <c r="Y146" s="51">
        <f t="shared" si="47"/>
        <v>8323329.9851095136</v>
      </c>
      <c r="Z146" s="51">
        <f t="shared" si="47"/>
        <v>8971333.8912716974</v>
      </c>
      <c r="AA146" s="51">
        <f t="shared" si="47"/>
        <v>9632297.8755571246</v>
      </c>
      <c r="AB146" s="51">
        <f t="shared" si="47"/>
        <v>10306481.139528261</v>
      </c>
      <c r="AC146" s="78">
        <f t="shared" si="47"/>
        <v>10994148.06877882</v>
      </c>
      <c r="AD146" s="51">
        <f t="shared" si="47"/>
        <v>11695568.336614391</v>
      </c>
      <c r="AE146" s="51">
        <f t="shared" si="47"/>
        <v>12411017.009806672</v>
      </c>
      <c r="AF146" s="51">
        <f t="shared" si="47"/>
        <v>13140774.6564628</v>
      </c>
      <c r="AG146" s="51">
        <f t="shared" si="47"/>
        <v>13885127.45605205</v>
      </c>
      <c r="AH146" s="78">
        <f t="shared" si="47"/>
        <v>14644367.311633084</v>
      </c>
    </row>
    <row r="147" spans="1:34">
      <c r="A147" s="48"/>
      <c r="C147" s="12" t="s">
        <v>46</v>
      </c>
      <c r="D147" s="51">
        <f t="shared" si="32"/>
        <v>-2700000</v>
      </c>
      <c r="E147" s="51">
        <f t="shared" ref="E147:AH147" si="48">D147+$F75*E$130</f>
        <v>-2194065.032980632</v>
      </c>
      <c r="F147" s="51">
        <f t="shared" si="48"/>
        <v>-1678011.3666208766</v>
      </c>
      <c r="G147" s="51">
        <f t="shared" si="48"/>
        <v>-1151636.6269339263</v>
      </c>
      <c r="H147" s="51">
        <f t="shared" si="48"/>
        <v>-614734.39245323674</v>
      </c>
      <c r="I147" s="51">
        <f t="shared" si="48"/>
        <v>-67094.113282933366</v>
      </c>
      <c r="J147" s="51">
        <f t="shared" si="48"/>
        <v>491498.97147077601</v>
      </c>
      <c r="K147" s="51">
        <f t="shared" si="48"/>
        <v>1061263.9179195596</v>
      </c>
      <c r="L147" s="51">
        <f t="shared" si="48"/>
        <v>1642424.1632973189</v>
      </c>
      <c r="M147" s="51">
        <f t="shared" si="48"/>
        <v>2235207.6135826334</v>
      </c>
      <c r="N147" s="51">
        <f t="shared" si="48"/>
        <v>2839846.732873654</v>
      </c>
      <c r="O147" s="51">
        <f t="shared" si="48"/>
        <v>3456578.6345504951</v>
      </c>
      <c r="P147" s="51">
        <f t="shared" si="48"/>
        <v>4085645.1742608733</v>
      </c>
      <c r="Q147" s="51">
        <f t="shared" si="48"/>
        <v>4727293.0447654594</v>
      </c>
      <c r="R147" s="51">
        <f t="shared" si="48"/>
        <v>5381773.8726801369</v>
      </c>
      <c r="S147" s="51">
        <f t="shared" si="48"/>
        <v>6049344.3171531074</v>
      </c>
      <c r="T147" s="51">
        <f t="shared" si="48"/>
        <v>6730266.1705155373</v>
      </c>
      <c r="U147" s="51">
        <f t="shared" si="48"/>
        <v>7424806.460945216</v>
      </c>
      <c r="V147" s="51">
        <f t="shared" si="48"/>
        <v>8133237.5571834883</v>
      </c>
      <c r="W147" s="51">
        <f t="shared" si="48"/>
        <v>8855837.2753465269</v>
      </c>
      <c r="X147" s="78">
        <f t="shared" si="48"/>
        <v>9592888.9878728259</v>
      </c>
      <c r="Y147" s="51">
        <f t="shared" si="48"/>
        <v>10344681.734649651</v>
      </c>
      <c r="Z147" s="51">
        <f t="shared" si="48"/>
        <v>11111510.336362012</v>
      </c>
      <c r="AA147" s="51">
        <f t="shared" si="48"/>
        <v>11893675.51010862</v>
      </c>
      <c r="AB147" s="51">
        <f t="shared" si="48"/>
        <v>12691483.987330161</v>
      </c>
      <c r="AC147" s="78">
        <f t="shared" si="48"/>
        <v>13505248.634096133</v>
      </c>
      <c r="AD147" s="51">
        <f t="shared" si="48"/>
        <v>14335288.573797423</v>
      </c>
      <c r="AE147" s="51">
        <f t="shared" si="48"/>
        <v>15181929.31229274</v>
      </c>
      <c r="AF147" s="51">
        <f t="shared" si="48"/>
        <v>16045502.865557963</v>
      </c>
      <c r="AG147" s="51">
        <f t="shared" si="48"/>
        <v>16926347.889888491</v>
      </c>
      <c r="AH147" s="78">
        <f t="shared" si="48"/>
        <v>17824809.814705629</v>
      </c>
    </row>
    <row r="148" spans="1:34">
      <c r="A148" s="48"/>
      <c r="C148" s="12" t="s">
        <v>47</v>
      </c>
      <c r="D148" s="51">
        <f>-$G$82</f>
        <v>-2700000</v>
      </c>
      <c r="E148" s="51">
        <f t="shared" ref="E148:AH148" si="49">D148+$F76*E$130</f>
        <v>-2254498.8551090332</v>
      </c>
      <c r="F148" s="51">
        <f t="shared" si="49"/>
        <v>-1800087.6873202471</v>
      </c>
      <c r="G148" s="51">
        <f t="shared" si="49"/>
        <v>-1336588.2961756852</v>
      </c>
      <c r="H148" s="51">
        <f t="shared" si="49"/>
        <v>-863818.91720823222</v>
      </c>
      <c r="I148" s="51">
        <f t="shared" si="49"/>
        <v>-381594.15066143009</v>
      </c>
      <c r="J148" s="51">
        <f t="shared" si="49"/>
        <v>110275.11121630808</v>
      </c>
      <c r="K148" s="51">
        <f t="shared" si="49"/>
        <v>611981.75833160104</v>
      </c>
      <c r="L148" s="51">
        <f t="shared" si="49"/>
        <v>1123722.5383891999</v>
      </c>
      <c r="M148" s="51">
        <f t="shared" si="49"/>
        <v>1645698.1340479506</v>
      </c>
      <c r="N148" s="51">
        <f t="shared" si="49"/>
        <v>2178113.2416198766</v>
      </c>
      <c r="O148" s="51">
        <f t="shared" si="49"/>
        <v>2721176.6513432409</v>
      </c>
      <c r="P148" s="51">
        <f t="shared" si="49"/>
        <v>3275101.3292610724</v>
      </c>
      <c r="Q148" s="51">
        <f t="shared" si="49"/>
        <v>3840104.5007372606</v>
      </c>
      <c r="R148" s="51">
        <f t="shared" si="49"/>
        <v>4416407.7356429724</v>
      </c>
      <c r="S148" s="51">
        <f t="shared" si="49"/>
        <v>5004237.0352467988</v>
      </c>
      <c r="T148" s="51">
        <f t="shared" si="49"/>
        <v>5603822.9208427016</v>
      </c>
      <c r="U148" s="51">
        <f t="shared" si="49"/>
        <v>6215400.5241505224</v>
      </c>
      <c r="V148" s="51">
        <f t="shared" si="49"/>
        <v>6839209.6795244999</v>
      </c>
      <c r="W148" s="51">
        <f t="shared" si="49"/>
        <v>7475495.0180059569</v>
      </c>
      <c r="X148" s="78">
        <f t="shared" si="49"/>
        <v>8124506.0632570423</v>
      </c>
      <c r="Y148" s="51">
        <f t="shared" si="49"/>
        <v>8786497.3294131495</v>
      </c>
      <c r="Z148" s="51">
        <f t="shared" si="49"/>
        <v>9461728.4208923802</v>
      </c>
      <c r="AA148" s="51">
        <f t="shared" si="49"/>
        <v>10150464.134201195</v>
      </c>
      <c r="AB148" s="51">
        <f t="shared" si="49"/>
        <v>10852974.561776185</v>
      </c>
      <c r="AC148" s="78">
        <f t="shared" si="49"/>
        <v>11569535.197902676</v>
      </c>
      <c r="AD148" s="51">
        <f t="shared" si="49"/>
        <v>12300427.046751697</v>
      </c>
      <c r="AE148" s="51">
        <f t="shared" si="49"/>
        <v>13045936.732577696</v>
      </c>
      <c r="AF148" s="51">
        <f t="shared" si="49"/>
        <v>13806356.612120217</v>
      </c>
      <c r="AG148" s="51">
        <f t="shared" si="49"/>
        <v>14581984.889253588</v>
      </c>
      <c r="AH148" s="78">
        <f t="shared" si="49"/>
        <v>15373125.731929626</v>
      </c>
    </row>
    <row r="149" spans="1:34">
      <c r="A149" s="48"/>
      <c r="C149" s="12" t="s">
        <v>48</v>
      </c>
      <c r="D149" s="51">
        <f t="shared" si="32"/>
        <v>-2700000</v>
      </c>
      <c r="E149" s="51">
        <f t="shared" ref="E149:AH149" si="50">D149+$F77*E$130</f>
        <v>-2535477.57353498</v>
      </c>
      <c r="F149" s="51">
        <f t="shared" si="50"/>
        <v>-2367664.6985406596</v>
      </c>
      <c r="G149" s="51">
        <f t="shared" si="50"/>
        <v>-2196495.5660464526</v>
      </c>
      <c r="H149" s="51">
        <f t="shared" si="50"/>
        <v>-2021903.0509023615</v>
      </c>
      <c r="I149" s="51">
        <f t="shared" si="50"/>
        <v>-1843818.6854553886</v>
      </c>
      <c r="J149" s="51">
        <f t="shared" si="50"/>
        <v>-1662172.6326994763</v>
      </c>
      <c r="K149" s="51">
        <f t="shared" si="50"/>
        <v>-1476893.6588884457</v>
      </c>
      <c r="L149" s="51">
        <f t="shared" si="50"/>
        <v>-1287909.1056011943</v>
      </c>
      <c r="M149" s="51">
        <f t="shared" si="50"/>
        <v>-1095144.861248198</v>
      </c>
      <c r="N149" s="51">
        <f t="shared" si="50"/>
        <v>-898525.33200814179</v>
      </c>
      <c r="O149" s="51">
        <f t="shared" si="50"/>
        <v>-697973.41218328441</v>
      </c>
      <c r="P149" s="51">
        <f t="shared" si="50"/>
        <v>-493410.45396192989</v>
      </c>
      <c r="Q149" s="51">
        <f t="shared" si="50"/>
        <v>-284756.23657614831</v>
      </c>
      <c r="R149" s="51">
        <f t="shared" si="50"/>
        <v>-71928.934842651128</v>
      </c>
      <c r="S149" s="51">
        <f t="shared" si="50"/>
        <v>145154.91292551599</v>
      </c>
      <c r="T149" s="51">
        <f t="shared" si="50"/>
        <v>366580.43764904642</v>
      </c>
      <c r="U149" s="51">
        <f t="shared" si="50"/>
        <v>592434.47286704741</v>
      </c>
      <c r="V149" s="51">
        <f t="shared" si="50"/>
        <v>822805.58878940856</v>
      </c>
      <c r="W149" s="51">
        <f t="shared" si="50"/>
        <v>1057784.1270302169</v>
      </c>
      <c r="X149" s="78">
        <f t="shared" si="50"/>
        <v>1297462.2360358413</v>
      </c>
      <c r="Y149" s="51">
        <f t="shared" si="50"/>
        <v>1541933.9072215783</v>
      </c>
      <c r="Z149" s="51">
        <f t="shared" si="50"/>
        <v>1791295.01183103</v>
      </c>
      <c r="AA149" s="51">
        <f t="shared" si="50"/>
        <v>2045643.3385326709</v>
      </c>
      <c r="AB149" s="51">
        <f t="shared" si="50"/>
        <v>2305078.6317683444</v>
      </c>
      <c r="AC149" s="78">
        <f t="shared" si="50"/>
        <v>2569702.6308687315</v>
      </c>
      <c r="AD149" s="51">
        <f t="shared" si="50"/>
        <v>2839619.1099511264</v>
      </c>
      <c r="AE149" s="51">
        <f t="shared" si="50"/>
        <v>3114933.9186151689</v>
      </c>
      <c r="AF149" s="51">
        <f t="shared" si="50"/>
        <v>3395755.0234524924</v>
      </c>
      <c r="AG149" s="51">
        <f t="shared" si="50"/>
        <v>3682192.5503865625</v>
      </c>
      <c r="AH149" s="78">
        <f t="shared" si="50"/>
        <v>3974358.8278593137</v>
      </c>
    </row>
    <row r="150" spans="1:34">
      <c r="A150" s="48"/>
      <c r="C150" s="12" t="s">
        <v>49</v>
      </c>
      <c r="D150" s="51">
        <f t="shared" si="32"/>
        <v>-2700000</v>
      </c>
      <c r="E150" s="51">
        <f t="shared" ref="E150:AH150" si="51">D150+$F78*E$130</f>
        <v>-2542444.735191667</v>
      </c>
      <c r="F150" s="51">
        <f t="shared" si="51"/>
        <v>-2381738.3650871674</v>
      </c>
      <c r="G150" s="51">
        <f t="shared" si="51"/>
        <v>-2217817.8675805777</v>
      </c>
      <c r="H150" s="51">
        <f t="shared" si="51"/>
        <v>-2050618.9601238563</v>
      </c>
      <c r="I150" s="51">
        <f t="shared" si="51"/>
        <v>-1880076.0745180005</v>
      </c>
      <c r="J150" s="51">
        <f t="shared" si="51"/>
        <v>-1706122.3312000274</v>
      </c>
      <c r="K150" s="51">
        <f t="shared" si="51"/>
        <v>-1528689.5130156949</v>
      </c>
      <c r="L150" s="51">
        <f t="shared" si="51"/>
        <v>-1347708.0384676757</v>
      </c>
      <c r="M150" s="51">
        <f t="shared" si="51"/>
        <v>-1163106.9344286961</v>
      </c>
      <c r="N150" s="51">
        <f t="shared" si="51"/>
        <v>-974813.80830893689</v>
      </c>
      <c r="O150" s="51">
        <f t="shared" si="51"/>
        <v>-782754.81966678251</v>
      </c>
      <c r="P150" s="51">
        <f t="shared" si="51"/>
        <v>-586854.65125178511</v>
      </c>
      <c r="Q150" s="51">
        <f t="shared" si="51"/>
        <v>-387036.47946848773</v>
      </c>
      <c r="R150" s="51">
        <f t="shared" si="51"/>
        <v>-183221.94424952441</v>
      </c>
      <c r="S150" s="51">
        <f t="shared" si="51"/>
        <v>24668.881673818163</v>
      </c>
      <c r="T150" s="51">
        <f t="shared" si="51"/>
        <v>236717.52411562757</v>
      </c>
      <c r="U150" s="51">
        <f t="shared" si="51"/>
        <v>453007.13940627314</v>
      </c>
      <c r="V150" s="51">
        <f t="shared" si="51"/>
        <v>673622.54700273159</v>
      </c>
      <c r="W150" s="51">
        <f t="shared" si="51"/>
        <v>898650.26275111921</v>
      </c>
      <c r="X150" s="78">
        <f t="shared" si="51"/>
        <v>1128178.5328144745</v>
      </c>
      <c r="Y150" s="51">
        <f t="shared" si="51"/>
        <v>1362297.3682790971</v>
      </c>
      <c r="Z150" s="51">
        <f t="shared" si="51"/>
        <v>1601098.5804530121</v>
      </c>
      <c r="AA150" s="51">
        <f t="shared" si="51"/>
        <v>1844675.8168704053</v>
      </c>
      <c r="AB150" s="51">
        <f t="shared" si="51"/>
        <v>2093124.5980161466</v>
      </c>
      <c r="AC150" s="78">
        <f t="shared" si="51"/>
        <v>2346542.3547848025</v>
      </c>
      <c r="AD150" s="51">
        <f t="shared" si="51"/>
        <v>2605028.4666888318</v>
      </c>
      <c r="AE150" s="51">
        <f t="shared" si="51"/>
        <v>2868684.3008309416</v>
      </c>
      <c r="AF150" s="51">
        <f t="shared" si="51"/>
        <v>3137613.2516558934</v>
      </c>
      <c r="AG150" s="51">
        <f t="shared" si="51"/>
        <v>3411920.7814973444</v>
      </c>
      <c r="AH150" s="78">
        <f t="shared" si="51"/>
        <v>3691714.4619356245</v>
      </c>
    </row>
    <row r="151" spans="1:34">
      <c r="A151" s="48"/>
      <c r="C151" s="12" t="s">
        <v>50</v>
      </c>
      <c r="D151" s="51">
        <f t="shared" si="32"/>
        <v>-2700000</v>
      </c>
      <c r="E151" s="51">
        <f t="shared" ref="E151:AH151" si="52">D151+$F79*E$130</f>
        <v>-2491085.6382093872</v>
      </c>
      <c r="F151" s="51">
        <f t="shared" si="52"/>
        <v>-2277992.9891829621</v>
      </c>
      <c r="G151" s="51">
        <f t="shared" si="52"/>
        <v>-2060638.4871760085</v>
      </c>
      <c r="H151" s="51">
        <f t="shared" si="52"/>
        <v>-1838936.8951289158</v>
      </c>
      <c r="I151" s="51">
        <f t="shared" si="52"/>
        <v>-1612801.2712408812</v>
      </c>
      <c r="J151" s="51">
        <f t="shared" si="52"/>
        <v>-1382142.9348750859</v>
      </c>
      <c r="K151" s="51">
        <f t="shared" si="52"/>
        <v>-1146871.4317819746</v>
      </c>
      <c r="L151" s="51">
        <f t="shared" si="52"/>
        <v>-906894.49862700119</v>
      </c>
      <c r="M151" s="51">
        <f t="shared" si="52"/>
        <v>-662118.02680892823</v>
      </c>
      <c r="N151" s="51">
        <f t="shared" si="52"/>
        <v>-412446.02555449388</v>
      </c>
      <c r="O151" s="51">
        <f t="shared" si="52"/>
        <v>-157780.58427497081</v>
      </c>
      <c r="P151" s="51">
        <f t="shared" si="52"/>
        <v>101978.16583014271</v>
      </c>
      <c r="Q151" s="51">
        <f t="shared" si="52"/>
        <v>366932.09093735844</v>
      </c>
      <c r="R151" s="51">
        <f t="shared" si="52"/>
        <v>637185.09454671852</v>
      </c>
      <c r="S151" s="51">
        <f t="shared" si="52"/>
        <v>912843.15822826582</v>
      </c>
      <c r="T151" s="51">
        <f t="shared" si="52"/>
        <v>1194014.3831834439</v>
      </c>
      <c r="U151" s="51">
        <f t="shared" si="52"/>
        <v>1480809.0326377256</v>
      </c>
      <c r="V151" s="51">
        <f t="shared" si="52"/>
        <v>1773339.575081093</v>
      </c>
      <c r="W151" s="51">
        <f t="shared" si="52"/>
        <v>2071720.7283733278</v>
      </c>
      <c r="X151" s="78">
        <f t="shared" si="52"/>
        <v>2376069.5047314074</v>
      </c>
      <c r="Y151" s="51">
        <f t="shared" si="52"/>
        <v>2686505.2566166483</v>
      </c>
      <c r="Z151" s="51">
        <f t="shared" si="52"/>
        <v>3003149.7235395941</v>
      </c>
      <c r="AA151" s="51">
        <f t="shared" si="52"/>
        <v>3326127.0798009988</v>
      </c>
      <c r="AB151" s="51">
        <f t="shared" si="52"/>
        <v>3655563.9831876317</v>
      </c>
      <c r="AC151" s="78">
        <f t="shared" si="52"/>
        <v>3991589.6246419973</v>
      </c>
      <c r="AD151" s="51">
        <f t="shared" si="52"/>
        <v>4334335.7789254505</v>
      </c>
      <c r="AE151" s="51">
        <f t="shared" si="52"/>
        <v>4683936.8562945724</v>
      </c>
      <c r="AF151" s="51">
        <f t="shared" si="52"/>
        <v>5040529.9552110769</v>
      </c>
      <c r="AG151" s="51">
        <f t="shared" si="52"/>
        <v>5404254.9161059111</v>
      </c>
      <c r="AH151" s="78">
        <f t="shared" si="52"/>
        <v>5775254.3762186421</v>
      </c>
    </row>
    <row r="152" spans="1:34">
      <c r="A152" s="48"/>
      <c r="P152" s="14"/>
      <c r="Q152"/>
    </row>
    <row r="153" spans="1:34">
      <c r="P153" s="14"/>
      <c r="Q153"/>
    </row>
    <row r="154" spans="1:34">
      <c r="P154" s="14"/>
      <c r="Q154"/>
    </row>
    <row r="155" spans="1:34">
      <c r="P155" s="14"/>
      <c r="Q155"/>
    </row>
    <row r="156" spans="1:34">
      <c r="P156" s="14"/>
      <c r="Q156"/>
    </row>
    <row r="157" spans="1:34">
      <c r="P157" s="14"/>
      <c r="Q157"/>
    </row>
    <row r="158" spans="1:34">
      <c r="P158" s="14"/>
      <c r="Q158"/>
    </row>
    <row r="159" spans="1:34">
      <c r="P159" s="14"/>
      <c r="Q159"/>
    </row>
    <row r="160" spans="1:34">
      <c r="P160" s="14"/>
      <c r="Q160"/>
    </row>
    <row r="161" spans="16:17">
      <c r="P161" s="14"/>
      <c r="Q161"/>
    </row>
    <row r="162" spans="16:17">
      <c r="P162" s="14"/>
      <c r="Q162"/>
    </row>
    <row r="163" spans="16:17">
      <c r="P163" s="14"/>
      <c r="Q163"/>
    </row>
    <row r="164" spans="16:17">
      <c r="P164" s="14"/>
      <c r="Q164"/>
    </row>
    <row r="165" spans="16:17">
      <c r="P165" s="14"/>
      <c r="Q165"/>
    </row>
    <row r="166" spans="16:17">
      <c r="P166" s="14"/>
      <c r="Q166"/>
    </row>
    <row r="167" spans="16:17">
      <c r="P167" s="14"/>
      <c r="Q167"/>
    </row>
  </sheetData>
  <mergeCells count="36">
    <mergeCell ref="C30:E30"/>
    <mergeCell ref="C31:E31"/>
    <mergeCell ref="F32:H32"/>
    <mergeCell ref="G39:M39"/>
    <mergeCell ref="G40:M40"/>
    <mergeCell ref="G38:M38"/>
    <mergeCell ref="G37:M37"/>
    <mergeCell ref="F33:H33"/>
    <mergeCell ref="F34:H34"/>
    <mergeCell ref="F35:H35"/>
    <mergeCell ref="C129:F129"/>
    <mergeCell ref="C128:F128"/>
    <mergeCell ref="F42:K42"/>
    <mergeCell ref="F43:H43"/>
    <mergeCell ref="F45:H45"/>
    <mergeCell ref="F44:H44"/>
    <mergeCell ref="C105:F105"/>
    <mergeCell ref="C104:F104"/>
    <mergeCell ref="F52:G52"/>
    <mergeCell ref="K44:S45"/>
    <mergeCell ref="C1:P1"/>
    <mergeCell ref="C36:E36"/>
    <mergeCell ref="C18:E18"/>
    <mergeCell ref="C24:E24"/>
    <mergeCell ref="K34:Q34"/>
    <mergeCell ref="I35:K35"/>
    <mergeCell ref="C3:E3"/>
    <mergeCell ref="F7:M7"/>
    <mergeCell ref="F6:M6"/>
    <mergeCell ref="F30:K30"/>
    <mergeCell ref="C11:O11"/>
    <mergeCell ref="D10:E10"/>
    <mergeCell ref="F21:L21"/>
    <mergeCell ref="F23:L23"/>
    <mergeCell ref="F31:H31"/>
    <mergeCell ref="K33:Q3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D1" workbookViewId="0">
      <selection activeCell="N13" sqref="N13"/>
    </sheetView>
  </sheetViews>
  <sheetFormatPr baseColWidth="10" defaultRowHeight="15" x14ac:dyDescent="0"/>
  <cols>
    <col min="2" max="2" width="42.5" customWidth="1"/>
    <col min="3" max="3" width="13.5" customWidth="1"/>
    <col min="4" max="4" width="13.83203125" customWidth="1"/>
    <col min="15" max="15" width="13.6640625" customWidth="1"/>
  </cols>
  <sheetData>
    <row r="2" spans="2:15" ht="30">
      <c r="B2" s="77" t="s">
        <v>92</v>
      </c>
      <c r="C2">
        <v>50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 ht="30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30">
        <v>3.14</v>
      </c>
      <c r="D5" s="30">
        <v>3.48</v>
      </c>
      <c r="E5" s="30">
        <v>4.5199999999999996</v>
      </c>
      <c r="F5" s="30">
        <v>5.04</v>
      </c>
      <c r="G5" s="30">
        <v>5.48</v>
      </c>
      <c r="H5" s="30">
        <v>5.89</v>
      </c>
      <c r="I5" s="30">
        <v>6.09</v>
      </c>
      <c r="J5" s="30">
        <v>5.63</v>
      </c>
      <c r="K5" s="30">
        <v>5.24</v>
      </c>
      <c r="L5" s="30">
        <v>4.3499999999999996</v>
      </c>
      <c r="M5" s="30">
        <v>3.17</v>
      </c>
      <c r="N5" s="30">
        <v>2.87</v>
      </c>
      <c r="O5" s="83">
        <f>AVERAGE(C5:N5)</f>
        <v>4.5750000000000002</v>
      </c>
    </row>
    <row r="6" spans="2:15" ht="31">
      <c r="B6" s="1" t="s">
        <v>14</v>
      </c>
      <c r="C6" s="30">
        <v>-3.45</v>
      </c>
      <c r="D6" s="30">
        <v>-0.52</v>
      </c>
      <c r="E6" s="30">
        <v>5.32</v>
      </c>
      <c r="F6" s="30">
        <v>12.1</v>
      </c>
      <c r="G6" s="30">
        <v>17.8</v>
      </c>
      <c r="H6" s="30">
        <v>22.4</v>
      </c>
      <c r="I6" s="30">
        <v>25</v>
      </c>
      <c r="J6" s="30">
        <v>24.4</v>
      </c>
      <c r="K6" s="30">
        <v>19.399999999999999</v>
      </c>
      <c r="L6" s="30">
        <v>13.2</v>
      </c>
      <c r="M6" s="30">
        <v>5.15</v>
      </c>
      <c r="N6" s="30">
        <v>-1.5</v>
      </c>
      <c r="O6" s="83">
        <v>11.7</v>
      </c>
    </row>
    <row r="7" spans="2:15">
      <c r="B7" s="1" t="s">
        <v>15</v>
      </c>
      <c r="C7" s="30">
        <v>6.79</v>
      </c>
      <c r="D7" s="30">
        <v>6.85</v>
      </c>
      <c r="E7" s="30">
        <v>7.35</v>
      </c>
      <c r="F7" s="30">
        <v>7.81</v>
      </c>
      <c r="G7" s="30">
        <v>6.74</v>
      </c>
      <c r="H7" s="30">
        <v>6.12</v>
      </c>
      <c r="I7" s="30">
        <v>5.56</v>
      </c>
      <c r="J7" s="30">
        <v>5.43</v>
      </c>
      <c r="K7" s="30">
        <v>5.78</v>
      </c>
      <c r="L7" s="30">
        <v>6.14</v>
      </c>
      <c r="M7" s="30">
        <v>6.55</v>
      </c>
      <c r="N7" s="30">
        <v>6.56</v>
      </c>
      <c r="O7" s="30">
        <v>6.47</v>
      </c>
    </row>
    <row r="8" spans="2:15">
      <c r="B8" s="1" t="s">
        <v>16</v>
      </c>
      <c r="C8" s="30">
        <v>9.69</v>
      </c>
      <c r="D8" s="30">
        <v>10.7</v>
      </c>
      <c r="E8" s="30">
        <v>11.9</v>
      </c>
      <c r="F8" s="30">
        <v>13.2</v>
      </c>
      <c r="G8" s="30">
        <v>14.3</v>
      </c>
      <c r="H8" s="30">
        <v>14.9</v>
      </c>
      <c r="I8" s="30">
        <v>14.6</v>
      </c>
      <c r="J8" s="30">
        <v>13.7</v>
      </c>
      <c r="K8" s="30">
        <v>12.4</v>
      </c>
      <c r="L8" s="30">
        <v>11.2</v>
      </c>
      <c r="M8" s="30">
        <v>10</v>
      </c>
      <c r="N8" s="30">
        <v>9.41</v>
      </c>
      <c r="O8" s="83">
        <f t="shared" ref="O8" si="0">AVERAGE(C8:N8)</f>
        <v>12.166666666666666</v>
      </c>
    </row>
    <row r="11" spans="2:15" ht="16">
      <c r="B11" t="s">
        <v>17</v>
      </c>
      <c r="C11" t="s">
        <v>55</v>
      </c>
    </row>
    <row r="12" spans="2:15">
      <c r="B12" t="s">
        <v>19</v>
      </c>
      <c r="C12">
        <v>39.74</v>
      </c>
    </row>
    <row r="13" spans="2:15">
      <c r="B13" t="s">
        <v>20</v>
      </c>
      <c r="C13">
        <v>-94.85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30057750</v>
      </c>
      <c r="D15" s="110">
        <f>O5*365*3600*INPUTS!$E$40*INPUTS!$E$39/1000</f>
        <v>28554862.5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458379.67459635006</v>
      </c>
      <c r="D18" s="34">
        <f>INPUTS!$E$45*INPUTS!$E$38*INPUTS!$E$40*((INPUTS!$E$42*D5*30.417*(3600/1000))-(INPUTS!$E$43*(INPUTS!$E$44-D6)*(D8-2)*3600*30.417)/(10^6))</f>
        <v>549418.32895680016</v>
      </c>
      <c r="E18" s="34">
        <f>INPUTS!$E$45*INPUTS!$E$38*INPUTS!$E$40*((INPUTS!$E$42*E5*30.417*(3600/1000))-(INPUTS!$E$43*(INPUTS!$E$44-E6)*(E8-2)*3600*30.417)/(10^6))</f>
        <v>952080.30264239968</v>
      </c>
      <c r="F18" s="34">
        <f>INPUTS!$E$45*INPUTS!$E$38*INPUTS!$E$40*((INPUTS!$E$42*F5*30.417*(3600/1000))-(INPUTS!$E$43*(INPUTS!$E$44-F6)*(F8-2)*3600*30.417)/(10^6))</f>
        <v>1219392.223056</v>
      </c>
      <c r="G18" s="34">
        <f>INPUTS!$E$45*INPUTS!$E$38*INPUTS!$E$40*((INPUTS!$E$42*G5*30.417*(3600/1000))-(INPUTS!$E$43*(INPUTS!$E$44-G6)*(G8-2)*3600*30.417)/(10^6))</f>
        <v>1475102.7103320004</v>
      </c>
      <c r="H18" s="34">
        <f>INPUTS!$E$45*INPUTS!$E$38*INPUTS!$E$40*((INPUTS!$E$42*H5*30.417*(3600/1000))-(INPUTS!$E$43*(INPUTS!$E$44-H6)*(H8-2)*3600*30.417)/(10^6))</f>
        <v>1729261.018098</v>
      </c>
      <c r="I18" s="34">
        <f>INPUTS!$E$45*INPUTS!$E$38*INPUTS!$E$40*((INPUTS!$E$42*I5*30.417*(3600/1000))-(INPUTS!$E$43*(INPUTS!$E$44-I6)*(I8-2)*3600*30.417)/(10^6))</f>
        <v>1881241.5661199996</v>
      </c>
      <c r="J18" s="34">
        <f>INPUTS!$E$45*INPUTS!$E$38*INPUTS!$E$40*((INPUTS!$E$42*J5*30.417*(3600/1000))-(INPUTS!$E$43*(INPUTS!$E$44-J6)*(J8-2)*3600*30.417)/(10^6))</f>
        <v>1722431.4282539999</v>
      </c>
      <c r="K18" s="34">
        <f>INPUTS!$E$45*INPUTS!$E$38*INPUTS!$E$40*((INPUTS!$E$42*K5*30.417*(3600/1000))-(INPUTS!$E$43*(INPUTS!$E$44-K6)*(K8-2)*3600*30.417)/(10^6))</f>
        <v>1499316.7106880003</v>
      </c>
      <c r="L18" s="34">
        <f>INPUTS!$E$45*INPUTS!$E$38*INPUTS!$E$40*((INPUTS!$E$42*L5*30.417*(3600/1000))-(INPUTS!$E$43*(INPUTS!$E$44-L6)*(L8-2)*3600*30.417)/(10^6))</f>
        <v>1098588.309192</v>
      </c>
      <c r="M18" s="34">
        <f>INPUTS!$E$45*INPUTS!$E$38*INPUTS!$E$40*((INPUTS!$E$42*M5*30.417*(3600/1000))-(INPUTS!$E$43*(INPUTS!$E$44-M6)*(M8-2)*3600*30.417)/(10^6))</f>
        <v>595149.97211999993</v>
      </c>
      <c r="N18" s="34">
        <f>INPUTS!$E$45*INPUTS!$E$38*INPUTS!$E$40*((INPUTS!$E$42*N5*30.417*(3600/1000))-(INPUTS!$E$43*(INPUTS!$E$44-N6)*(N8-2)*3600*30.417)/(10^6))</f>
        <v>418500.85688550002</v>
      </c>
      <c r="O18" s="23">
        <f>SUM(C18:N18)</f>
        <v>13598863.100941051</v>
      </c>
    </row>
    <row r="19" spans="2:15">
      <c r="B19" s="1" t="s">
        <v>33</v>
      </c>
      <c r="C19" s="34">
        <f>INPUTS!$E$33*(PI()*INPUTS!$E$29^2/4)*0.5*1.23*C7^3/1000</f>
        <v>496.03733103118611</v>
      </c>
      <c r="D19" s="34">
        <f>INPUTS!$E$33*(PI()*INPUTS!$E$29^2/4)*0.5*1.23*D7^3/1000</f>
        <v>509.30360905953484</v>
      </c>
      <c r="E19" s="34">
        <f>INPUTS!$E$33*(PI()*INPUTS!$E$29^2/4)*0.5*1.23*E7^3/1000</f>
        <v>629.1686237403502</v>
      </c>
      <c r="F19" s="34">
        <f>INPUTS!$E$33*(PI()*INPUTS!$E$29^2/4)*0.5*1.23*F7^3/1000</f>
        <v>754.84562256033962</v>
      </c>
      <c r="G19" s="34">
        <f>INPUTS!$E$33*(PI()*INPUTS!$E$29^2/4)*0.5*1.23*G7^3/1000</f>
        <v>485.15971117883288</v>
      </c>
      <c r="H19" s="34">
        <f>INPUTS!$E$33*(PI()*INPUTS!$E$29^2/4)*0.5*1.23*H7^3/1000</f>
        <v>363.21126162724698</v>
      </c>
      <c r="I19" s="34">
        <f>INPUTS!$E$33*(PI()*INPUTS!$E$29^2/4)*0.5*1.23*I7^3/1000</f>
        <v>272.35127577603532</v>
      </c>
      <c r="J19" s="34">
        <f>INPUTS!$E$33*(PI()*INPUTS!$E$29^2/4)*0.5*1.23*J7^3/1000</f>
        <v>253.69068902288859</v>
      </c>
      <c r="K19" s="34">
        <f>INPUTS!$E$33*(PI()*INPUTS!$E$29^2/4)*0.5*1.23*K7^3/1000</f>
        <v>305.97683957041573</v>
      </c>
      <c r="L19" s="34">
        <f>INPUTS!$E$33*(PI()*INPUTS!$E$29^2/4)*0.5*1.23*L7^3/1000</f>
        <v>366.78380593631186</v>
      </c>
      <c r="M19" s="34">
        <f>INPUTS!$E$33*(PI()*INPUTS!$E$29^2/4)*0.5*1.23*M7^3/1000</f>
        <v>445.27564274304569</v>
      </c>
      <c r="N19" s="34">
        <f>INPUTS!$E$33*(PI()*INPUTS!$E$29^2/4)*0.5*1.23*N7^3/1000</f>
        <v>447.31818838660593</v>
      </c>
      <c r="O19" s="23">
        <f>SUM(C19:N19)</f>
        <v>5329.1226006327943</v>
      </c>
    </row>
    <row r="20" spans="2:15">
      <c r="B20" s="1" t="s">
        <v>31</v>
      </c>
      <c r="C20" s="34">
        <f>INPUTS!$E$34*C19*24*30.417</f>
        <v>362111.21995141415</v>
      </c>
      <c r="D20" s="34">
        <f>INPUTS!$E$34*D19*24*30.417</f>
        <v>371795.70904233289</v>
      </c>
      <c r="E20" s="34">
        <f>INPUTS!$E$34*E19*24*30.417</f>
        <v>459298.1286794456</v>
      </c>
      <c r="F20" s="34">
        <f>INPUTS!$E$34*F19*24*30.417</f>
        <v>551043.34323402843</v>
      </c>
      <c r="G20" s="34">
        <f>INPUTS!$E$34*G19*24*30.417</f>
        <v>354170.47043823748</v>
      </c>
      <c r="H20" s="34">
        <f>INPUTS!$E$34*H19*24*30.417</f>
        <v>265147.12667798332</v>
      </c>
      <c r="I20" s="34">
        <f>INPUTS!$E$34*I19*24*30.417</f>
        <v>198818.61012671201</v>
      </c>
      <c r="J20" s="34">
        <f>INPUTS!$E$34*J19*24*30.417</f>
        <v>185196.23251222086</v>
      </c>
      <c r="K20" s="34">
        <f>INPUTS!$E$34*K19*24*30.417</f>
        <v>223365.54070112007</v>
      </c>
      <c r="L20" s="34">
        <f>INPUTS!$E$34*L19*24*30.417</f>
        <v>267755.11260395515</v>
      </c>
      <c r="M20" s="34">
        <f>INPUTS!$E$34*M19*24*30.417</f>
        <v>325054.78140756534</v>
      </c>
      <c r="N20" s="34">
        <f>INPUTS!$E$34*N19*24*30.417</f>
        <v>326545.85606772942</v>
      </c>
      <c r="O20" s="23">
        <f>SUM(C20:N20)</f>
        <v>3890302.1314427443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E1" workbookViewId="0">
      <selection activeCell="I14" sqref="I14"/>
    </sheetView>
  </sheetViews>
  <sheetFormatPr baseColWidth="10" defaultRowHeight="15" x14ac:dyDescent="0"/>
  <cols>
    <col min="1" max="1" width="10.83203125" style="37"/>
    <col min="2" max="2" width="42.1640625" style="37" customWidth="1"/>
    <col min="3" max="3" width="13.6640625" style="37" customWidth="1"/>
    <col min="4" max="14" width="10.83203125" style="37"/>
    <col min="15" max="15" width="14" style="37" customWidth="1"/>
    <col min="16" max="16384" width="10.83203125" style="37"/>
  </cols>
  <sheetData>
    <row r="2" spans="2:15" ht="30">
      <c r="B2" s="77" t="s">
        <v>92</v>
      </c>
      <c r="C2" s="37">
        <v>26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20"/>
    </row>
    <row r="4" spans="2:15" ht="30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38" t="s">
        <v>13</v>
      </c>
      <c r="C5" s="30">
        <v>3.25</v>
      </c>
      <c r="D5" s="30">
        <v>3.94</v>
      </c>
      <c r="E5" s="30">
        <v>4.7699999999999996</v>
      </c>
      <c r="F5" s="30">
        <v>5.46</v>
      </c>
      <c r="G5" s="30">
        <v>5.91</v>
      </c>
      <c r="H5" s="30">
        <v>6.51</v>
      </c>
      <c r="I5" s="30">
        <v>6.61</v>
      </c>
      <c r="J5" s="30">
        <v>6.22</v>
      </c>
      <c r="K5" s="30">
        <v>5.53</v>
      </c>
      <c r="L5" s="30">
        <v>4.5999999999999996</v>
      </c>
      <c r="M5" s="30">
        <v>3.48</v>
      </c>
      <c r="N5" s="30">
        <v>3.14</v>
      </c>
      <c r="O5" s="40">
        <v>4.96</v>
      </c>
    </row>
    <row r="6" spans="2:15" ht="31">
      <c r="B6" s="38" t="s">
        <v>57</v>
      </c>
      <c r="C6" s="30">
        <v>-4</v>
      </c>
      <c r="D6" s="30">
        <v>-2.13</v>
      </c>
      <c r="E6" s="30">
        <v>2.5</v>
      </c>
      <c r="F6" s="30">
        <v>8.19</v>
      </c>
      <c r="G6" s="30">
        <v>14</v>
      </c>
      <c r="H6" s="30">
        <v>18.3</v>
      </c>
      <c r="I6" s="30">
        <v>20.8</v>
      </c>
      <c r="J6" s="30">
        <v>19.7</v>
      </c>
      <c r="K6" s="30">
        <v>15.1</v>
      </c>
      <c r="L6" s="30">
        <v>8.44</v>
      </c>
      <c r="M6" s="30">
        <v>0.67</v>
      </c>
      <c r="N6" s="30">
        <v>-3.76</v>
      </c>
      <c r="O6" s="30">
        <v>8.2200000000000006</v>
      </c>
    </row>
    <row r="7" spans="2:15">
      <c r="B7" s="38" t="s">
        <v>15</v>
      </c>
      <c r="C7" s="30">
        <v>7.66</v>
      </c>
      <c r="D7" s="30">
        <v>7.09</v>
      </c>
      <c r="E7" s="30">
        <v>7.14</v>
      </c>
      <c r="F7" s="30">
        <v>7.55</v>
      </c>
      <c r="G7" s="30">
        <v>7</v>
      </c>
      <c r="H7" s="30">
        <v>6.4</v>
      </c>
      <c r="I7" s="30">
        <v>6.05</v>
      </c>
      <c r="J7" s="30">
        <v>6.08</v>
      </c>
      <c r="K7" s="30">
        <v>6.73</v>
      </c>
      <c r="L7" s="30">
        <v>6.8</v>
      </c>
      <c r="M7" s="30">
        <v>7.21</v>
      </c>
      <c r="N7" s="30">
        <v>7.38</v>
      </c>
      <c r="O7" s="30">
        <v>6.92</v>
      </c>
    </row>
    <row r="8" spans="2:15">
      <c r="B8" s="38" t="s">
        <v>16</v>
      </c>
      <c r="C8" s="30">
        <v>9.58</v>
      </c>
      <c r="D8" s="30">
        <v>10.6</v>
      </c>
      <c r="E8" s="30">
        <v>11.9</v>
      </c>
      <c r="F8" s="30">
        <v>13.3</v>
      </c>
      <c r="G8" s="30">
        <v>14.4</v>
      </c>
      <c r="H8" s="30">
        <v>15</v>
      </c>
      <c r="I8" s="30">
        <v>14.8</v>
      </c>
      <c r="J8" s="30">
        <v>13.8</v>
      </c>
      <c r="K8" s="30">
        <v>12.5</v>
      </c>
      <c r="L8" s="30">
        <v>11.1</v>
      </c>
      <c r="M8" s="30">
        <v>9.93</v>
      </c>
      <c r="N8" s="30">
        <v>9.2799999999999994</v>
      </c>
      <c r="O8" s="40">
        <f>AVERAGE(C8:N8)</f>
        <v>12.182499999999999</v>
      </c>
    </row>
    <row r="11" spans="2:15" ht="16">
      <c r="B11" s="37" t="s">
        <v>17</v>
      </c>
      <c r="C11" s="37" t="s">
        <v>56</v>
      </c>
    </row>
    <row r="12" spans="2:15">
      <c r="B12" s="37" t="s">
        <v>19</v>
      </c>
      <c r="C12" s="37">
        <v>41.16</v>
      </c>
    </row>
    <row r="13" spans="2:15">
      <c r="B13" s="37" t="s">
        <v>20</v>
      </c>
      <c r="C13" s="37">
        <v>-101.09</v>
      </c>
    </row>
    <row r="14" spans="2:15">
      <c r="B14" s="38"/>
      <c r="D14" s="31" t="s">
        <v>130</v>
      </c>
    </row>
    <row r="15" spans="2:15">
      <c r="B15" s="101" t="s">
        <v>118</v>
      </c>
      <c r="C15" s="34">
        <f>O5*365*3600*INPUTS!$E$40*INPUTS!$E$38/1000</f>
        <v>32587200</v>
      </c>
      <c r="D15" s="110">
        <f>O5*365*3600*INPUTS!$E$40*INPUTS!$E$39/1000</f>
        <v>30957840</v>
      </c>
    </row>
    <row r="16" spans="2:15">
      <c r="B16" s="38"/>
    </row>
    <row r="17" spans="2:15">
      <c r="B17" s="38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38" t="s">
        <v>32</v>
      </c>
      <c r="C18" s="34">
        <f>INPUTS!$E$45*INPUTS!$E$38*INPUTS!$E$40*((INPUTS!$E$42*C5*30.417*(3600/1000))-(INPUTS!$E$43*(INPUTS!$E$44-C6)*(C8-2)*3600*30.417)/(10^6))</f>
        <v>497540.05493400007</v>
      </c>
      <c r="D18" s="34">
        <f>INPUTS!$E$45*INPUTS!$E$38*INPUTS!$E$40*((INPUTS!$E$42*D5*30.417*(3600/1000))-(INPUTS!$E$43*(INPUTS!$E$44-D6)*(D8-2)*3600*30.417)/(10^6))</f>
        <v>689793.00904259982</v>
      </c>
      <c r="E18" s="34">
        <f>INPUTS!$E$45*INPUTS!$E$38*INPUTS!$E$40*((INPUTS!$E$42*E5*30.417*(3600/1000))-(INPUTS!$E$43*(INPUTS!$E$44-E6)*(E8-2)*3600*30.417)/(10^6))</f>
        <v>978870.92098499986</v>
      </c>
      <c r="F18" s="34">
        <f>INPUTS!$E$45*INPUTS!$E$38*INPUTS!$E$40*((INPUTS!$E$42*F5*30.417*(3600/1000))-(INPUTS!$E$43*(INPUTS!$E$44-F6)*(F8-2)*3600*30.417)/(10^6))</f>
        <v>1265352.2583471001</v>
      </c>
      <c r="G18" s="34">
        <f>INPUTS!$E$45*INPUTS!$E$38*INPUTS!$E$40*((INPUTS!$E$42*G5*30.417*(3600/1000))-(INPUTS!$E$43*(INPUTS!$E$44-G6)*(G8-2)*3600*30.417)/(10^6))</f>
        <v>1519362.0003600002</v>
      </c>
      <c r="H18" s="34">
        <f>INPUTS!$E$45*INPUTS!$E$38*INPUTS!$E$40*((INPUTS!$E$42*H5*30.417*(3600/1000))-(INPUTS!$E$43*(INPUTS!$E$44-H6)*(H8-2)*3600*30.417)/(10^6))</f>
        <v>1828245.7228500003</v>
      </c>
      <c r="I18" s="34">
        <f>INPUTS!$E$45*INPUTS!$E$38*INPUTS!$E$40*((INPUTS!$E$42*I5*30.417*(3600/1000))-(INPUTS!$E$43*(INPUTS!$E$44-I6)*(I8-2)*3600*30.417)/(10^6))</f>
        <v>1942087.0029120001</v>
      </c>
      <c r="J18" s="34">
        <f>INPUTS!$E$45*INPUTS!$E$38*INPUTS!$E$40*((INPUTS!$E$42*J5*30.417*(3600/1000))-(INPUTS!$E$43*(INPUTS!$E$44-J6)*(J8-2)*3600*30.417)/(10^6))</f>
        <v>1806426.5137380001</v>
      </c>
      <c r="K18" s="34">
        <f>INPUTS!$E$45*INPUTS!$E$38*INPUTS!$E$40*((INPUTS!$E$42*K5*30.417*(3600/1000))-(INPUTS!$E$43*(INPUTS!$E$44-K6)*(K8-2)*3600*30.417)/(10^6))</f>
        <v>1498629.3169050002</v>
      </c>
      <c r="L18" s="34">
        <f>INPUTS!$E$45*INPUTS!$E$38*INPUTS!$E$40*((INPUTS!$E$42*L5*30.417*(3600/1000))-(INPUTS!$E$43*(INPUTS!$E$44-L6)*(L8-2)*3600*30.417)/(10^6))</f>
        <v>1096069.3435872002</v>
      </c>
      <c r="M18" s="34">
        <f>INPUTS!$E$45*INPUTS!$E$38*INPUTS!$E$40*((INPUTS!$E$42*M5*30.417*(3600/1000))-(INPUTS!$E$43*(INPUTS!$E$44-M6)*(M8-2)*3600*30.417)/(10^6))</f>
        <v>630990.01874583028</v>
      </c>
      <c r="N18" s="34">
        <f>INPUTS!$E$45*INPUTS!$E$38*INPUTS!$E$40*((INPUTS!$E$42*N5*30.417*(3600/1000))-(INPUTS!$E$43*(INPUTS!$E$44-N6)*(N8-2)*3600*30.417)/(10^6))</f>
        <v>488331.63912096008</v>
      </c>
      <c r="O18" s="39">
        <f>SUM(C18:N18)</f>
        <v>14241697.801527694</v>
      </c>
    </row>
    <row r="19" spans="2:15">
      <c r="B19" s="38" t="s">
        <v>33</v>
      </c>
      <c r="C19" s="34">
        <f>INPUTS!$E$33*(PI()*INPUTS!$E$29^2/4)*0.5*1.23*C7^3/1000</f>
        <v>712.18258248634004</v>
      </c>
      <c r="D19" s="34">
        <f>INPUTS!$E$33*(PI()*INPUTS!$E$29^2/4)*0.5*1.23*D7^3/1000</f>
        <v>564.73375217330374</v>
      </c>
      <c r="E19" s="34">
        <f>INPUTS!$E$33*(PI()*INPUTS!$E$29^2/4)*0.5*1.23*E7^3/1000</f>
        <v>576.7660311951189</v>
      </c>
      <c r="F19" s="34">
        <f>INPUTS!$E$33*(PI()*INPUTS!$E$29^2/4)*0.5*1.23*F7^3/1000</f>
        <v>681.93957426892939</v>
      </c>
      <c r="G19" s="34">
        <f>INPUTS!$E$33*(PI()*INPUTS!$E$29^2/4)*0.5*1.23*G7^3/1000</f>
        <v>543.49951300321811</v>
      </c>
      <c r="H19" s="34">
        <f>INPUTS!$E$33*(PI()*INPUTS!$E$29^2/4)*0.5*1.23*H7^3/1000</f>
        <v>415.37940622949162</v>
      </c>
      <c r="I19" s="34">
        <f>INPUTS!$E$33*(PI()*INPUTS!$E$29^2/4)*0.5*1.23*I7^3/1000</f>
        <v>350.89013875929078</v>
      </c>
      <c r="J19" s="34">
        <f>INPUTS!$E$33*(PI()*INPUTS!$E$29^2/4)*0.5*1.23*J7^3/1000</f>
        <v>356.13591841601033</v>
      </c>
      <c r="K19" s="34">
        <f>INPUTS!$E$33*(PI()*INPUTS!$E$29^2/4)*0.5*1.23*K7^3/1000</f>
        <v>483.00344895786668</v>
      </c>
      <c r="L19" s="34">
        <f>INPUTS!$E$33*(PI()*INPUTS!$E$29^2/4)*0.5*1.23*L7^3/1000</f>
        <v>498.232183302122</v>
      </c>
      <c r="M19" s="34">
        <f>INPUTS!$E$33*(PI()*INPUTS!$E$29^2/4)*0.5*1.23*M7^3/1000</f>
        <v>593.89659234546741</v>
      </c>
      <c r="N19" s="34">
        <f>INPUTS!$E$33*(PI()*INPUTS!$E$29^2/4)*0.5*1.23*N7^3/1000</f>
        <v>636.90421744889795</v>
      </c>
      <c r="O19" s="39">
        <f>SUM(C19:N19)</f>
        <v>6413.5633585860569</v>
      </c>
    </row>
    <row r="20" spans="2:15">
      <c r="B20" s="38" t="s">
        <v>31</v>
      </c>
      <c r="C20" s="34">
        <f>INPUTS!$E$34*C19*24*30.417</f>
        <v>519898.98267568817</v>
      </c>
      <c r="D20" s="34">
        <f>INPUTS!$E$34*D19*24*30.417</f>
        <v>412260.15695652913</v>
      </c>
      <c r="E20" s="34">
        <f>INPUTS!$E$34*E19*24*30.417</f>
        <v>421043.81690068636</v>
      </c>
      <c r="F20" s="34">
        <f>INPUTS!$E$34*F19*24*30.417</f>
        <v>497821.34473291261</v>
      </c>
      <c r="G20" s="34">
        <f>INPUTS!$E$34*G19*24*30.417</f>
        <v>396758.99248845328</v>
      </c>
      <c r="H20" s="34">
        <f>INPUTS!$E$34*H19*24*30.417</f>
        <v>303230.2895827787</v>
      </c>
      <c r="I20" s="34">
        <f>INPUTS!$E$34*I19*24*30.417</f>
        <v>256152.60841539237</v>
      </c>
      <c r="J20" s="34">
        <f>INPUTS!$E$34*J19*24*30.417</f>
        <v>259982.06953103488</v>
      </c>
      <c r="K20" s="34">
        <f>INPUTS!$E$34*K19*24*30.417</f>
        <v>352596.38176683441</v>
      </c>
      <c r="L20" s="34">
        <f>INPUTS!$E$34*L19*24*30.417</f>
        <v>363713.4796680155</v>
      </c>
      <c r="M20" s="34">
        <f>INPUTS!$E$34*M19*24*30.417</f>
        <v>433549.26358492998</v>
      </c>
      <c r="N20" s="34">
        <f>INPUTS!$E$34*N19*24*30.417</f>
        <v>464945.17397143511</v>
      </c>
      <c r="O20" s="39">
        <f>SUM(C20:N20)</f>
        <v>4681952.5602746904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C1" workbookViewId="0">
      <selection activeCell="C20" sqref="C20:N20"/>
    </sheetView>
  </sheetViews>
  <sheetFormatPr baseColWidth="10" defaultRowHeight="15" x14ac:dyDescent="0"/>
  <cols>
    <col min="2" max="2" width="39.5" customWidth="1"/>
    <col min="3" max="3" width="11.6640625" customWidth="1"/>
    <col min="4" max="4" width="12.6640625" customWidth="1"/>
    <col min="15" max="15" width="14.6640625" customWidth="1"/>
  </cols>
  <sheetData>
    <row r="2" spans="2:15" ht="30">
      <c r="B2" s="77" t="s">
        <v>92</v>
      </c>
      <c r="C2">
        <v>12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33">
        <v>3.09</v>
      </c>
      <c r="D5" s="33">
        <v>3.74</v>
      </c>
      <c r="E5" s="33">
        <v>4.68</v>
      </c>
      <c r="F5" s="33">
        <v>5.31</v>
      </c>
      <c r="G5" s="33">
        <v>6.01</v>
      </c>
      <c r="H5" s="33">
        <v>6.47</v>
      </c>
      <c r="I5" s="33">
        <v>6.43</v>
      </c>
      <c r="J5" s="33">
        <v>6.07</v>
      </c>
      <c r="K5" s="33">
        <v>5.5</v>
      </c>
      <c r="L5" s="33">
        <v>4.59</v>
      </c>
      <c r="M5" s="33">
        <v>3.31</v>
      </c>
      <c r="N5" s="33">
        <v>2.91</v>
      </c>
      <c r="O5" s="41">
        <v>4.8499999999999996</v>
      </c>
    </row>
    <row r="6" spans="2:15" ht="31">
      <c r="B6" s="1" t="s">
        <v>14</v>
      </c>
      <c r="C6" s="33">
        <v>-3.76</v>
      </c>
      <c r="D6" s="33">
        <v>-2.29</v>
      </c>
      <c r="E6" s="33">
        <v>2.1800000000000002</v>
      </c>
      <c r="F6" s="33">
        <v>7.11</v>
      </c>
      <c r="G6" s="33">
        <v>12.9</v>
      </c>
      <c r="H6" s="33">
        <v>17.5</v>
      </c>
      <c r="I6" s="33">
        <v>20.9</v>
      </c>
      <c r="J6" s="33">
        <v>20</v>
      </c>
      <c r="K6" s="33">
        <v>14.8</v>
      </c>
      <c r="L6" s="33">
        <v>7.92</v>
      </c>
      <c r="M6" s="33">
        <v>0.22</v>
      </c>
      <c r="N6" s="33">
        <v>-4</v>
      </c>
      <c r="O6" s="33">
        <v>7.86</v>
      </c>
    </row>
    <row r="7" spans="2:15">
      <c r="B7" s="1" t="s">
        <v>15</v>
      </c>
      <c r="C7" s="33">
        <v>8.41</v>
      </c>
      <c r="D7" s="33">
        <v>7.61</v>
      </c>
      <c r="E7" s="33">
        <v>7.11</v>
      </c>
      <c r="F7" s="33">
        <v>7.4</v>
      </c>
      <c r="G7" s="33">
        <v>6.48</v>
      </c>
      <c r="H7" s="33">
        <v>6.23</v>
      </c>
      <c r="I7" s="33">
        <v>5.91</v>
      </c>
      <c r="J7" s="33">
        <v>6.03</v>
      </c>
      <c r="K7" s="33">
        <v>6.77</v>
      </c>
      <c r="L7" s="33">
        <v>7.18</v>
      </c>
      <c r="M7" s="33">
        <v>7.91</v>
      </c>
      <c r="N7" s="33">
        <v>8.17</v>
      </c>
      <c r="O7" s="33">
        <v>7.1</v>
      </c>
    </row>
    <row r="8" spans="2:15">
      <c r="B8" s="1" t="s">
        <v>16</v>
      </c>
      <c r="C8" s="33">
        <v>9.5</v>
      </c>
      <c r="D8" s="33">
        <v>10.6</v>
      </c>
      <c r="E8" s="33">
        <v>11.9</v>
      </c>
      <c r="F8" s="33">
        <v>13.3</v>
      </c>
      <c r="G8" s="33">
        <v>14.5</v>
      </c>
      <c r="H8" s="33">
        <v>15.1</v>
      </c>
      <c r="I8" s="33">
        <v>14.9</v>
      </c>
      <c r="J8" s="33">
        <v>13.8</v>
      </c>
      <c r="K8" s="33">
        <v>12.5</v>
      </c>
      <c r="L8" s="33">
        <v>11.1</v>
      </c>
      <c r="M8" s="33">
        <v>9.86</v>
      </c>
      <c r="N8" s="33">
        <v>9.19</v>
      </c>
      <c r="O8" s="26">
        <f t="shared" ref="O8" si="0">AVERAGE(C8:N8)</f>
        <v>12.1875</v>
      </c>
    </row>
    <row r="11" spans="2:15" ht="16">
      <c r="B11" t="s">
        <v>17</v>
      </c>
      <c r="C11" t="s">
        <v>54</v>
      </c>
    </row>
    <row r="12" spans="2:15">
      <c r="B12" t="s">
        <v>19</v>
      </c>
      <c r="C12">
        <v>42.04</v>
      </c>
    </row>
    <row r="13" spans="2:15">
      <c r="B13" t="s">
        <v>20</v>
      </c>
      <c r="C13">
        <v>-104.2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31864499.999999996</v>
      </c>
      <c r="D15" s="110">
        <f>O5*365*3600*INPUTS!$E$40*INPUTS!$E$39/1000</f>
        <v>30271274.999999996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451684.23741</v>
      </c>
      <c r="D18" s="34">
        <f>INPUTS!$E$45*INPUTS!$E$38*INPUTS!$E$40*((INPUTS!$E$42*D5*30.417*(3600/1000))-(INPUTS!$E$43*(INPUTS!$E$44-D6)*(D8-2)*3600*30.417)/(10^6))</f>
        <v>615785.09000580024</v>
      </c>
      <c r="E18" s="34">
        <f>INPUTS!$E$45*INPUTS!$E$38*INPUTS!$E$40*((INPUTS!$E$42*E5*30.417*(3600/1000))-(INPUTS!$E$43*(INPUTS!$E$44-E6)*(E8-2)*3600*30.417)/(10^6))</f>
        <v>939915.65008259984</v>
      </c>
      <c r="F18" s="34">
        <f>INPUTS!$E$45*INPUTS!$E$38*INPUTS!$E$40*((INPUTS!$E$42*F5*30.417*(3600/1000))-(INPUTS!$E$43*(INPUTS!$E$44-F6)*(F8-2)*3600*30.417)/(10^6))</f>
        <v>1185073.5340898999</v>
      </c>
      <c r="G18" s="34">
        <f>INPUTS!$E$45*INPUTS!$E$38*INPUTS!$E$40*((INPUTS!$E$42*G5*30.417*(3600/1000))-(INPUTS!$E$43*(INPUTS!$E$44-G6)*(G8-2)*3600*30.417)/(10^6))</f>
        <v>1519694.6102549999</v>
      </c>
      <c r="H18" s="34">
        <f>INPUTS!$E$45*INPUTS!$E$38*INPUTS!$E$40*((INPUTS!$E$42*H5*30.417*(3600/1000))-(INPUTS!$E$43*(INPUTS!$E$44-H6)*(H8-2)*3600*30.417)/(10^6))</f>
        <v>1787112.9658350002</v>
      </c>
      <c r="I18" s="34">
        <f>INPUTS!$E$45*INPUTS!$E$38*INPUTS!$E$40*((INPUTS!$E$42*I5*30.417*(3600/1000))-(INPUTS!$E$43*(INPUTS!$E$44-I6)*(I8-2)*3600*30.417)/(10^6))</f>
        <v>1877937.6411629999</v>
      </c>
      <c r="J18" s="34">
        <f>INPUTS!$E$45*INPUTS!$E$38*INPUTS!$E$40*((INPUTS!$E$42*J5*30.417*(3600/1000))-(INPUTS!$E$43*(INPUTS!$E$44-J6)*(J8-2)*3600*30.417)/(10^6))</f>
        <v>1761058.5240600002</v>
      </c>
      <c r="K18" s="34">
        <f>INPUTS!$E$45*INPUTS!$E$38*INPUTS!$E$40*((INPUTS!$E$42*K5*30.417*(3600/1000))-(INPUTS!$E$43*(INPUTS!$E$44-K6)*(K8-2)*3600*30.417)/(10^6))</f>
        <v>1481000.9924700004</v>
      </c>
      <c r="L18" s="34">
        <f>INPUTS!$E$45*INPUTS!$E$38*INPUTS!$E$40*((INPUTS!$E$42*L5*30.417*(3600/1000))-(INPUTS!$E$43*(INPUTS!$E$44-L6)*(L8-2)*3600*30.417)/(10^6))</f>
        <v>1082028.7712196</v>
      </c>
      <c r="M18" s="34">
        <f>INPUTS!$E$45*INPUTS!$E$38*INPUTS!$E$40*((INPUTS!$E$42*M5*30.417*(3600/1000))-(INPUTS!$E$43*(INPUTS!$E$44-M6)*(M8-2)*3600*30.417)/(10^6))</f>
        <v>568162.4487195604</v>
      </c>
      <c r="N18" s="34">
        <f>INPUTS!$E$45*INPUTS!$E$38*INPUTS!$E$40*((INPUTS!$E$42*N5*30.417*(3600/1000))-(INPUTS!$E$43*(INPUTS!$E$44-N6)*(N8-2)*3600*30.417)/(10^6))</f>
        <v>410640.17636700021</v>
      </c>
      <c r="O18" s="23">
        <f>SUM(C18:N18)</f>
        <v>13680094.641677462</v>
      </c>
    </row>
    <row r="19" spans="2:15">
      <c r="B19" s="1" t="s">
        <v>33</v>
      </c>
      <c r="C19" s="34">
        <f>INPUTS!$E$33*(PI()*INPUTS!$E$29^2/4)*0.5*1.23*C7^3/1000</f>
        <v>942.52532153485959</v>
      </c>
      <c r="D19" s="34">
        <f>INPUTS!$E$33*(PI()*INPUTS!$E$29^2/4)*0.5*1.23*D7^3/1000</f>
        <v>698.32728250327057</v>
      </c>
      <c r="E19" s="34">
        <f>INPUTS!$E$33*(PI()*INPUTS!$E$29^2/4)*0.5*1.23*E7^3/1000</f>
        <v>569.52637524627346</v>
      </c>
      <c r="F19" s="34">
        <f>INPUTS!$E$33*(PI()*INPUTS!$E$29^2/4)*0.5*1.23*F7^3/1000</f>
        <v>642.09634593940541</v>
      </c>
      <c r="G19" s="34">
        <f>INPUTS!$E$33*(PI()*INPUTS!$E$29^2/4)*0.5*1.23*G7^3/1000</f>
        <v>431.15165434767044</v>
      </c>
      <c r="H19" s="34">
        <f>INPUTS!$E$33*(PI()*INPUTS!$E$29^2/4)*0.5*1.23*H7^3/1000</f>
        <v>383.15030818236573</v>
      </c>
      <c r="I19" s="34">
        <f>INPUTS!$E$33*(PI()*INPUTS!$E$29^2/4)*0.5*1.23*I7^3/1000</f>
        <v>327.09016198295831</v>
      </c>
      <c r="J19" s="34">
        <f>INPUTS!$E$33*(PI()*INPUTS!$E$29^2/4)*0.5*1.23*J7^3/1000</f>
        <v>347.42172768927998</v>
      </c>
      <c r="K19" s="34">
        <f>INPUTS!$E$33*(PI()*INPUTS!$E$29^2/4)*0.5*1.23*K7^3/1000</f>
        <v>491.66698331161956</v>
      </c>
      <c r="L19" s="34">
        <f>INPUTS!$E$33*(PI()*INPUTS!$E$29^2/4)*0.5*1.23*L7^3/1000</f>
        <v>586.51398493287513</v>
      </c>
      <c r="M19" s="34">
        <f>INPUTS!$E$33*(PI()*INPUTS!$E$29^2/4)*0.5*1.23*M7^3/1000</f>
        <v>784.21381681380433</v>
      </c>
      <c r="N19" s="34">
        <f>INPUTS!$E$33*(PI()*INPUTS!$E$29^2/4)*0.5*1.23*N7^3/1000</f>
        <v>864.11433305364164</v>
      </c>
      <c r="O19" s="23">
        <f>SUM(C19:N19)</f>
        <v>7067.7982955380239</v>
      </c>
    </row>
    <row r="20" spans="2:15">
      <c r="B20" s="1" t="s">
        <v>31</v>
      </c>
      <c r="C20" s="34">
        <f>INPUTS!$E$34*C19*24*30.417</f>
        <v>688051.02492301993</v>
      </c>
      <c r="D20" s="34">
        <f>INPUTS!$E$34*D19*24*30.417</f>
        <v>509784.50284564757</v>
      </c>
      <c r="E20" s="34">
        <f>INPUTS!$E$34*E19*24*30.417</f>
        <v>415758.81014078163</v>
      </c>
      <c r="F20" s="34">
        <f>INPUTS!$E$34*F19*24*30.417</f>
        <v>468735.46930653352</v>
      </c>
      <c r="G20" s="34">
        <f>INPUTS!$E$34*G19*24*30.417</f>
        <v>314744.15688703419</v>
      </c>
      <c r="H20" s="34">
        <f>INPUTS!$E$34*H19*24*30.417</f>
        <v>279702.79017559247</v>
      </c>
      <c r="I20" s="34">
        <f>INPUTS!$E$34*I19*24*30.417</f>
        <v>238778.43496885544</v>
      </c>
      <c r="J20" s="34">
        <f>INPUTS!$E$34*J19*24*30.417</f>
        <v>253620.6405869959</v>
      </c>
      <c r="K20" s="34">
        <f>INPUTS!$E$34*K19*24*30.417</f>
        <v>358920.83115334879</v>
      </c>
      <c r="L20" s="34">
        <f>INPUTS!$E$34*L19*24*30.417</f>
        <v>428159.90111287829</v>
      </c>
      <c r="M20" s="34">
        <f>INPUTS!$E$34*M19*24*30.417</f>
        <v>572482.35998461163</v>
      </c>
      <c r="N20" s="34">
        <f>INPUTS!$E$34*N19*24*30.417</f>
        <v>630810.37604382285</v>
      </c>
      <c r="O20" s="23">
        <f>SUM(C20:N20)</f>
        <v>5159549.2981291218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G1" workbookViewId="0">
      <selection activeCell="D18" sqref="C18:N18"/>
    </sheetView>
  </sheetViews>
  <sheetFormatPr baseColWidth="10" defaultRowHeight="15" x14ac:dyDescent="0"/>
  <cols>
    <col min="1" max="1" width="10.83203125" style="42"/>
    <col min="2" max="2" width="43.5" style="42" customWidth="1"/>
    <col min="3" max="3" width="12.33203125" style="42" customWidth="1"/>
    <col min="4" max="4" width="12" style="42" customWidth="1"/>
    <col min="5" max="14" width="10.83203125" style="42"/>
    <col min="15" max="15" width="13.5" style="42" customWidth="1"/>
    <col min="16" max="16384" width="10.83203125" style="42"/>
  </cols>
  <sheetData>
    <row r="2" spans="2:15" ht="30">
      <c r="B2" s="77" t="s">
        <v>92</v>
      </c>
      <c r="C2" s="42">
        <v>60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20"/>
    </row>
    <row r="4" spans="2:15" ht="30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43" t="s">
        <v>13</v>
      </c>
      <c r="C5" s="33">
        <v>3.03</v>
      </c>
      <c r="D5" s="33">
        <v>3.78</v>
      </c>
      <c r="E5" s="33">
        <v>4.9400000000000004</v>
      </c>
      <c r="F5" s="33">
        <v>5.77</v>
      </c>
      <c r="G5" s="33">
        <v>6.3</v>
      </c>
      <c r="H5" s="33">
        <v>6.99</v>
      </c>
      <c r="I5" s="33">
        <v>7.09</v>
      </c>
      <c r="J5" s="33">
        <v>6.67</v>
      </c>
      <c r="K5" s="33">
        <v>6.01</v>
      </c>
      <c r="L5" s="33">
        <v>4.92</v>
      </c>
      <c r="M5" s="33">
        <v>3.26</v>
      </c>
      <c r="N5" s="33">
        <v>2.87</v>
      </c>
      <c r="O5" s="33">
        <v>5.14</v>
      </c>
    </row>
    <row r="6" spans="2:15" ht="31">
      <c r="B6" s="43" t="s">
        <v>57</v>
      </c>
      <c r="C6" s="33">
        <v>-6.42</v>
      </c>
      <c r="D6" s="33">
        <v>-4.05</v>
      </c>
      <c r="E6" s="33">
        <v>1.6</v>
      </c>
      <c r="F6" s="33">
        <v>6.89</v>
      </c>
      <c r="G6" s="33">
        <v>12.4</v>
      </c>
      <c r="H6" s="33">
        <v>17.899999999999999</v>
      </c>
      <c r="I6" s="33">
        <v>22.9</v>
      </c>
      <c r="J6" s="33">
        <v>21.6</v>
      </c>
      <c r="K6" s="33">
        <v>15.2</v>
      </c>
      <c r="L6" s="33">
        <v>7.92</v>
      </c>
      <c r="M6" s="33">
        <v>-0.36</v>
      </c>
      <c r="N6" s="33">
        <v>-5.99</v>
      </c>
      <c r="O6" s="33">
        <v>7.55</v>
      </c>
    </row>
    <row r="7" spans="2:15">
      <c r="B7" s="43" t="s">
        <v>15</v>
      </c>
      <c r="C7" s="33">
        <v>5.68</v>
      </c>
      <c r="D7" s="33">
        <v>5.65</v>
      </c>
      <c r="E7" s="33">
        <v>5.52</v>
      </c>
      <c r="F7" s="33">
        <v>5.87</v>
      </c>
      <c r="G7" s="33">
        <v>5.83</v>
      </c>
      <c r="H7" s="33">
        <v>5.78</v>
      </c>
      <c r="I7" s="33">
        <v>5.9</v>
      </c>
      <c r="J7" s="33">
        <v>5.83</v>
      </c>
      <c r="K7" s="33">
        <v>5.84</v>
      </c>
      <c r="L7" s="33">
        <v>5.68</v>
      </c>
      <c r="M7" s="33">
        <v>6.02</v>
      </c>
      <c r="N7" s="33">
        <v>5.82</v>
      </c>
      <c r="O7" s="33">
        <v>5.78</v>
      </c>
    </row>
    <row r="8" spans="2:15">
      <c r="B8" s="43" t="s">
        <v>16</v>
      </c>
      <c r="C8" s="33">
        <v>9.44</v>
      </c>
      <c r="D8" s="33">
        <v>10.6</v>
      </c>
      <c r="E8" s="33">
        <v>11.9</v>
      </c>
      <c r="F8" s="33">
        <v>13.3</v>
      </c>
      <c r="G8" s="33">
        <v>14.6</v>
      </c>
      <c r="H8" s="33">
        <v>15.2</v>
      </c>
      <c r="I8" s="33">
        <v>14.9</v>
      </c>
      <c r="J8" s="33">
        <v>13.9</v>
      </c>
      <c r="K8" s="33">
        <v>12.5</v>
      </c>
      <c r="L8" s="33">
        <v>11.1</v>
      </c>
      <c r="M8" s="33">
        <v>9.83</v>
      </c>
      <c r="N8" s="33">
        <v>9.15</v>
      </c>
      <c r="O8" s="26">
        <f>AVERAGE(C8:N8)</f>
        <v>12.201666666666668</v>
      </c>
    </row>
    <row r="11" spans="2:15" ht="16">
      <c r="B11" s="42" t="s">
        <v>17</v>
      </c>
      <c r="C11" s="42" t="s">
        <v>54</v>
      </c>
    </row>
    <row r="12" spans="2:15">
      <c r="B12" s="42" t="s">
        <v>19</v>
      </c>
      <c r="C12" s="42">
        <v>42.52</v>
      </c>
    </row>
    <row r="13" spans="2:15">
      <c r="B13" s="42" t="s">
        <v>20</v>
      </c>
      <c r="C13" s="42">
        <v>-113.81</v>
      </c>
    </row>
    <row r="14" spans="2:15">
      <c r="B14" s="43"/>
      <c r="D14" s="31" t="s">
        <v>130</v>
      </c>
    </row>
    <row r="15" spans="2:15">
      <c r="B15" s="101" t="s">
        <v>118</v>
      </c>
      <c r="C15" s="34">
        <f>O5*365*3600*INPUTS!$E$40*INPUTS!$E$38/1000</f>
        <v>33769800</v>
      </c>
      <c r="D15" s="110">
        <f>O5*365*3600*INPUTS!$E$40*INPUTS!$E$39/1000</f>
        <v>32081310</v>
      </c>
    </row>
    <row r="16" spans="2:15">
      <c r="B16" s="43"/>
    </row>
    <row r="17" spans="2:15">
      <c r="B17" s="43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43" t="s">
        <v>32</v>
      </c>
      <c r="C18" s="34">
        <f>INPUTS!$E$45*INPUTS!$E$38*INPUTS!$E$40*((INPUTS!$E$42*C5*30.417*(3600/1000))-(INPUTS!$E$43*(INPUTS!$E$44-C6)*(C8-2)*3600*30.417)/(10^6))</f>
        <v>391670.76883535995</v>
      </c>
      <c r="D18" s="34">
        <f>INPUTS!$E$45*INPUTS!$E$38*INPUTS!$E$40*((INPUTS!$E$42*D5*30.417*(3600/1000))-(INPUTS!$E$43*(INPUTS!$E$44-D6)*(D8-2)*3600*30.417)/(10^6))</f>
        <v>596413.88972099987</v>
      </c>
      <c r="E18" s="34">
        <f>INPUTS!$E$45*INPUTS!$E$38*INPUTS!$E$40*((INPUTS!$E$42*E5*30.417*(3600/1000))-(INPUTS!$E$43*(INPUTS!$E$44-E6)*(E8-2)*3600*30.417)/(10^6))</f>
        <v>1019427.1541820003</v>
      </c>
      <c r="F18" s="34">
        <f>INPUTS!$E$45*INPUTS!$E$38*INPUTS!$E$40*((INPUTS!$E$42*F5*30.417*(3600/1000))-(INPUTS!$E$43*(INPUTS!$E$44-F6)*(F8-2)*3600*30.417)/(10^6))</f>
        <v>1342761.6679101</v>
      </c>
      <c r="G18" s="34">
        <f>INPUTS!$E$45*INPUTS!$E$38*INPUTS!$E$40*((INPUTS!$E$42*G5*30.417*(3600/1000))-(INPUTS!$E$43*(INPUTS!$E$44-G6)*(G8-2)*3600*30.417)/(10^6))</f>
        <v>1603711.8697319997</v>
      </c>
      <c r="H18" s="34">
        <f>INPUTS!$E$45*INPUTS!$E$38*INPUTS!$E$40*((INPUTS!$E$42*H5*30.417*(3600/1000))-(INPUTS!$E$43*(INPUTS!$E$44-H6)*(H8-2)*3600*30.417)/(10^6))</f>
        <v>1979428.007124</v>
      </c>
      <c r="I18" s="34">
        <f>INPUTS!$E$45*INPUTS!$E$38*INPUTS!$E$40*((INPUTS!$E$42*I5*30.417*(3600/1000))-(INPUTS!$E$43*(INPUTS!$E$44-I6)*(I8-2)*3600*30.417)/(10^6))</f>
        <v>2169303.9091829997</v>
      </c>
      <c r="J18" s="34">
        <f>INPUTS!$E$45*INPUTS!$E$38*INPUTS!$E$40*((INPUTS!$E$42*J5*30.417*(3600/1000))-(INPUTS!$E$43*(INPUTS!$E$44-J6)*(J8-2)*3600*30.417)/(10^6))</f>
        <v>2012822.040582</v>
      </c>
      <c r="K18" s="34">
        <f>INPUTS!$E$45*INPUTS!$E$38*INPUTS!$E$40*((INPUTS!$E$42*K5*30.417*(3600/1000))-(INPUTS!$E$43*(INPUTS!$E$44-K6)*(K8-2)*3600*30.417)/(10^6))</f>
        <v>1671253.8524100001</v>
      </c>
      <c r="L18" s="34">
        <f>INPUTS!$E$45*INPUTS!$E$38*INPUTS!$E$40*((INPUTS!$E$42*L5*30.417*(3600/1000))-(INPUTS!$E$43*(INPUTS!$E$44-L6)*(L8-2)*3600*30.417)/(10^6))</f>
        <v>1199107.4542596003</v>
      </c>
      <c r="M18" s="34">
        <f>INPUTS!$E$45*INPUTS!$E$38*INPUTS!$E$40*((INPUTS!$E$42*M5*30.417*(3600/1000))-(INPUTS!$E$43*(INPUTS!$E$44-M6)*(M8-2)*3600*30.417)/(10^6))</f>
        <v>542666.79156815994</v>
      </c>
      <c r="N18" s="34">
        <f>INPUTS!$E$45*INPUTS!$E$38*INPUTS!$E$40*((INPUTS!$E$42*N5*30.417*(3600/1000))-(INPUTS!$E$43*(INPUTS!$E$44-N6)*(N8-2)*3600*30.417)/(10^6))</f>
        <v>368357.69781494996</v>
      </c>
      <c r="O18" s="44">
        <f>SUM(C18:N18)</f>
        <v>14896925.103322171</v>
      </c>
    </row>
    <row r="19" spans="2:15">
      <c r="B19" s="43" t="s">
        <v>33</v>
      </c>
      <c r="C19" s="34">
        <f>INPUTS!$E$33*(PI()*INPUTS!$E$29^2/4)*0.5*1.23*C7^3/1000</f>
        <v>290.36886457617879</v>
      </c>
      <c r="D19" s="34">
        <f>INPUTS!$E$33*(PI()*INPUTS!$E$29^2/4)*0.5*1.23*D7^3/1000</f>
        <v>285.79220729366051</v>
      </c>
      <c r="E19" s="34">
        <f>INPUTS!$E$33*(PI()*INPUTS!$E$29^2/4)*0.5*1.23*E7^3/1000</f>
        <v>266.51537765828908</v>
      </c>
      <c r="F19" s="34">
        <f>INPUTS!$E$33*(PI()*INPUTS!$E$29^2/4)*0.5*1.23*F7^3/1000</f>
        <v>320.49358638354357</v>
      </c>
      <c r="G19" s="34">
        <f>INPUTS!$E$33*(PI()*INPUTS!$E$29^2/4)*0.5*1.23*G7^3/1000</f>
        <v>313.98630315892979</v>
      </c>
      <c r="H19" s="34">
        <f>INPUTS!$E$33*(PI()*INPUTS!$E$29^2/4)*0.5*1.23*H7^3/1000</f>
        <v>305.97683957041573</v>
      </c>
      <c r="I19" s="34">
        <f>INPUTS!$E$33*(PI()*INPUTS!$E$29^2/4)*0.5*1.23*I7^3/1000</f>
        <v>325.43261364748668</v>
      </c>
      <c r="J19" s="34">
        <f>INPUTS!$E$33*(PI()*INPUTS!$E$29^2/4)*0.5*1.23*J7^3/1000</f>
        <v>313.98630315892979</v>
      </c>
      <c r="K19" s="34">
        <f>INPUTS!$E$33*(PI()*INPUTS!$E$29^2/4)*0.5*1.23*K7^3/1000</f>
        <v>315.60478608042598</v>
      </c>
      <c r="L19" s="34">
        <f>INPUTS!$E$33*(PI()*INPUTS!$E$29^2/4)*0.5*1.23*L7^3/1000</f>
        <v>290.36886457617879</v>
      </c>
      <c r="M19" s="34">
        <f>INPUTS!$E$33*(PI()*INPUTS!$E$29^2/4)*0.5*1.23*M7^3/1000</f>
        <v>345.69612624277482</v>
      </c>
      <c r="N19" s="34">
        <f>INPUTS!$E$33*(PI()*INPUTS!$E$29^2/4)*0.5*1.23*N7^3/1000</f>
        <v>312.37336298173824</v>
      </c>
      <c r="O19" s="44">
        <f>SUM(C19:N19)</f>
        <v>3686.5952353285516</v>
      </c>
    </row>
    <row r="20" spans="2:15">
      <c r="B20" s="43" t="s">
        <v>31</v>
      </c>
      <c r="C20" s="34">
        <f>INPUTS!$E$34*C19*24*30.417</f>
        <v>211971.59409152713</v>
      </c>
      <c r="D20" s="34">
        <f>INPUTS!$E$34*D19*24*30.417</f>
        <v>208630.59766203052</v>
      </c>
      <c r="E20" s="34">
        <f>INPUTS!$E$34*E19*24*30.417</f>
        <v>194558.35781357231</v>
      </c>
      <c r="F20" s="34">
        <f>INPUTS!$E$34*F19*24*30.417</f>
        <v>233962.8820086779</v>
      </c>
      <c r="G20" s="34">
        <f>INPUTS!$E$34*G19*24*30.417</f>
        <v>229212.51319644402</v>
      </c>
      <c r="H20" s="34">
        <f>INPUTS!$E$34*H19*24*30.417</f>
        <v>223365.54070112007</v>
      </c>
      <c r="I20" s="34">
        <f>INPUTS!$E$34*I19*24*30.417</f>
        <v>237568.41142357446</v>
      </c>
      <c r="J20" s="34">
        <f>INPUTS!$E$34*J19*24*30.417</f>
        <v>229212.51319644402</v>
      </c>
      <c r="K20" s="34">
        <f>INPUTS!$E$34*K19*24*30.417</f>
        <v>230394.01867699961</v>
      </c>
      <c r="L20" s="34">
        <f>INPUTS!$E$34*L19*24*30.417</f>
        <v>211971.59409152713</v>
      </c>
      <c r="M20" s="34">
        <f>INPUTS!$E$34*M19*24*30.417</f>
        <v>252360.93772623557</v>
      </c>
      <c r="N20" s="34">
        <f>INPUTS!$E$34*N19*24*30.417</f>
        <v>228035.05396357281</v>
      </c>
      <c r="O20" s="44">
        <f>SUM(C20:N20)</f>
        <v>2691244.0145517252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E1" workbookViewId="0">
      <selection activeCell="J12" sqref="J12"/>
    </sheetView>
  </sheetViews>
  <sheetFormatPr baseColWidth="10" defaultRowHeight="15" x14ac:dyDescent="0"/>
  <cols>
    <col min="2" max="2" width="42.83203125" customWidth="1"/>
    <col min="3" max="3" width="12.6640625" customWidth="1"/>
    <col min="4" max="4" width="12" customWidth="1"/>
    <col min="15" max="15" width="14" customWidth="1"/>
  </cols>
  <sheetData>
    <row r="2" spans="2:15" ht="30">
      <c r="B2" s="77" t="s">
        <v>92</v>
      </c>
      <c r="C2">
        <v>50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 ht="30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25">
        <v>3.34</v>
      </c>
      <c r="D5" s="25">
        <v>3.97</v>
      </c>
      <c r="E5" s="25">
        <v>4.95</v>
      </c>
      <c r="F5" s="25">
        <v>5.64</v>
      </c>
      <c r="G5" s="25">
        <v>6.08</v>
      </c>
      <c r="H5" s="25">
        <v>6.69</v>
      </c>
      <c r="I5" s="25">
        <v>6.65</v>
      </c>
      <c r="J5" s="25">
        <v>6.31</v>
      </c>
      <c r="K5" s="25">
        <v>5.71</v>
      </c>
      <c r="L5" s="25">
        <v>4.8</v>
      </c>
      <c r="M5" s="25">
        <v>3.63</v>
      </c>
      <c r="N5" s="25">
        <v>3.22</v>
      </c>
      <c r="O5" s="25">
        <v>5.09</v>
      </c>
    </row>
    <row r="6" spans="2:15" ht="31">
      <c r="B6" s="1" t="s">
        <v>14</v>
      </c>
      <c r="C6" s="25">
        <v>-2.29</v>
      </c>
      <c r="D6" s="25">
        <v>-0.76</v>
      </c>
      <c r="E6" s="25">
        <v>3.81</v>
      </c>
      <c r="F6" s="25">
        <v>8.9600000000000009</v>
      </c>
      <c r="G6" s="25">
        <v>14.3</v>
      </c>
      <c r="H6" s="25">
        <v>18.3</v>
      </c>
      <c r="I6" s="25">
        <v>20.8</v>
      </c>
      <c r="J6" s="25">
        <v>19.7</v>
      </c>
      <c r="K6" s="25">
        <v>15.5</v>
      </c>
      <c r="L6" s="25">
        <v>9.17</v>
      </c>
      <c r="M6" s="25">
        <v>1.71</v>
      </c>
      <c r="N6" s="25">
        <v>-2.4700000000000002</v>
      </c>
      <c r="O6" s="25">
        <v>8.9499999999999993</v>
      </c>
    </row>
    <row r="7" spans="2:15">
      <c r="B7" s="1" t="s">
        <v>15</v>
      </c>
      <c r="C7" s="25">
        <v>7.44</v>
      </c>
      <c r="D7" s="25">
        <v>7.28</v>
      </c>
      <c r="E7" s="25">
        <v>7.48</v>
      </c>
      <c r="F7" s="25">
        <v>8.11</v>
      </c>
      <c r="G7" s="25">
        <v>7.47</v>
      </c>
      <c r="H7" s="25">
        <v>6.66</v>
      </c>
      <c r="I7" s="25">
        <v>6.03</v>
      </c>
      <c r="J7" s="25">
        <v>5.95</v>
      </c>
      <c r="K7" s="25">
        <v>6.36</v>
      </c>
      <c r="L7" s="25">
        <v>6.48</v>
      </c>
      <c r="M7" s="25">
        <v>6.77</v>
      </c>
      <c r="N7" s="25">
        <v>7.02</v>
      </c>
      <c r="O7" s="25">
        <v>6.92</v>
      </c>
    </row>
    <row r="8" spans="2:15">
      <c r="B8" s="1" t="s">
        <v>16</v>
      </c>
      <c r="C8" s="25">
        <v>9.68</v>
      </c>
      <c r="D8" s="25">
        <v>10.7</v>
      </c>
      <c r="E8" s="25">
        <v>11.9</v>
      </c>
      <c r="F8" s="25">
        <v>13.2</v>
      </c>
      <c r="G8" s="25">
        <v>14.3</v>
      </c>
      <c r="H8" s="25">
        <v>14.9</v>
      </c>
      <c r="I8" s="25">
        <v>14.7</v>
      </c>
      <c r="J8" s="25">
        <v>13.7</v>
      </c>
      <c r="K8" s="25">
        <v>12.4</v>
      </c>
      <c r="L8" s="25">
        <v>11.2</v>
      </c>
      <c r="M8" s="25">
        <v>10</v>
      </c>
      <c r="N8" s="25">
        <v>9.3800000000000008</v>
      </c>
      <c r="O8" s="26">
        <f t="shared" ref="O8" si="0">AVERAGE(C8:N8)</f>
        <v>12.171666666666667</v>
      </c>
    </row>
    <row r="11" spans="2:15" ht="16">
      <c r="B11" t="s">
        <v>17</v>
      </c>
      <c r="C11" t="s">
        <v>51</v>
      </c>
    </row>
    <row r="12" spans="2:15">
      <c r="B12" t="s">
        <v>19</v>
      </c>
      <c r="C12">
        <v>40.130000000000003</v>
      </c>
    </row>
    <row r="13" spans="2:15">
      <c r="B13" t="s">
        <v>20</v>
      </c>
      <c r="C13">
        <v>-102.68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33441300</v>
      </c>
      <c r="D15" s="110">
        <f>O5*365*3600*INPUTS!$E$40*INPUTS!$E$39/1000</f>
        <v>31769235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549943.40911104006</v>
      </c>
      <c r="D18" s="34">
        <f>INPUTS!$E$45*INPUTS!$E$38*INPUTS!$E$40*((INPUTS!$E$42*D5*30.417*(3600/1000))-(INPUTS!$E$43*(INPUTS!$E$44-D6)*(D8-2)*3600*30.417)/(10^6))</f>
        <v>718632.50433840044</v>
      </c>
      <c r="E18" s="34">
        <f>INPUTS!$E$45*INPUTS!$E$38*INPUTS!$E$40*((INPUTS!$E$42*E5*30.417*(3600/1000))-(INPUTS!$E$43*(INPUTS!$E$44-E6)*(E8-2)*3600*30.417)/(10^6))</f>
        <v>1071489.4723467</v>
      </c>
      <c r="F18" s="34">
        <f>INPUTS!$E$45*INPUTS!$E$38*INPUTS!$E$40*((INPUTS!$E$42*F5*30.417*(3600/1000))-(INPUTS!$E$43*(INPUTS!$E$44-F6)*(F8-2)*3600*30.417)/(10^6))</f>
        <v>1354281.0572736</v>
      </c>
      <c r="G18" s="34">
        <f>INPUTS!$E$45*INPUTS!$E$38*INPUTS!$E$40*((INPUTS!$E$42*G5*30.417*(3600/1000))-(INPUTS!$E$43*(INPUTS!$E$44-G6)*(G8-2)*3600*30.417)/(10^6))</f>
        <v>1592514.0032670002</v>
      </c>
      <c r="H18" s="34">
        <f>INPUTS!$E$45*INPUTS!$E$38*INPUTS!$E$40*((INPUTS!$E$42*H5*30.417*(3600/1000))-(INPUTS!$E$43*(INPUTS!$E$44-H6)*(H8-2)*3600*30.417)/(10^6))</f>
        <v>1895809.8795210002</v>
      </c>
      <c r="I18" s="34">
        <f>INPUTS!$E$45*INPUTS!$E$38*INPUTS!$E$40*((INPUTS!$E$42*I5*30.417*(3600/1000))-(INPUTS!$E$43*(INPUTS!$E$44-I6)*(I8-2)*3600*30.417)/(10^6))</f>
        <v>1959427.0654380005</v>
      </c>
      <c r="J18" s="34">
        <f>INPUTS!$E$45*INPUTS!$E$38*INPUTS!$E$40*((INPUTS!$E$42*J5*30.417*(3600/1000))-(INPUTS!$E$43*(INPUTS!$E$44-J6)*(J8-2)*3600*30.417)/(10^6))</f>
        <v>1841749.6845869997</v>
      </c>
      <c r="K18" s="34">
        <f>INPUTS!$E$45*INPUTS!$E$38*INPUTS!$E$40*((INPUTS!$E$42*K5*30.417*(3600/1000))-(INPUTS!$E$43*(INPUTS!$E$44-K6)*(K8-2)*3600*30.417)/(10^6))</f>
        <v>1576127.4224400001</v>
      </c>
      <c r="L18" s="34">
        <f>INPUTS!$E$45*INPUTS!$E$38*INPUTS!$E$40*((INPUTS!$E$42*L5*30.417*(3600/1000))-(INPUTS!$E$43*(INPUTS!$E$44-L6)*(L8-2)*3600*30.417)/(10^6))</f>
        <v>1176028.7623452002</v>
      </c>
      <c r="M18" s="34">
        <f>INPUTS!$E$45*INPUTS!$E$38*INPUTS!$E$40*((INPUTS!$E$42*M5*30.417*(3600/1000))-(INPUTS!$E$43*(INPUTS!$E$44-M6)*(M8-2)*3600*30.417)/(10^6))</f>
        <v>697327.7318640002</v>
      </c>
      <c r="N18" s="34">
        <f>INPUTS!$E$45*INPUTS!$E$38*INPUTS!$E$40*((INPUTS!$E$42*N5*30.417*(3600/1000))-(INPUTS!$E$43*(INPUTS!$E$44-N6)*(N8-2)*3600*30.417)/(10^6))</f>
        <v>529229.79529002006</v>
      </c>
      <c r="O18" s="23">
        <f>SUM(C18:N18)</f>
        <v>14962560.787821962</v>
      </c>
    </row>
    <row r="19" spans="2:15">
      <c r="B19" s="1" t="s">
        <v>33</v>
      </c>
      <c r="C19" s="34">
        <f>INPUTS!$E$33*(PI()*INPUTS!$E$29^2/4)*0.5*1.23*C7^3/1000</f>
        <v>652.56510362604524</v>
      </c>
      <c r="D19" s="34">
        <f>INPUTS!$E$33*(PI()*INPUTS!$E$29^2/4)*0.5*1.23*D7^3/1000</f>
        <v>611.36303619485193</v>
      </c>
      <c r="E19" s="34">
        <f>INPUTS!$E$33*(PI()*INPUTS!$E$29^2/4)*0.5*1.23*E7^3/1000</f>
        <v>663.1470359751246</v>
      </c>
      <c r="F19" s="34">
        <f>INPUTS!$E$33*(PI()*INPUTS!$E$29^2/4)*0.5*1.23*F7^3/1000</f>
        <v>845.21579017114721</v>
      </c>
      <c r="G19" s="34">
        <f>INPUTS!$E$33*(PI()*INPUTS!$E$29^2/4)*0.5*1.23*G7^3/1000</f>
        <v>660.49090948777052</v>
      </c>
      <c r="H19" s="34">
        <f>INPUTS!$E$33*(PI()*INPUTS!$E$29^2/4)*0.5*1.23*H7^3/1000</f>
        <v>468.08823618982649</v>
      </c>
      <c r="I19" s="34">
        <f>INPUTS!$E$33*(PI()*INPUTS!$E$29^2/4)*0.5*1.23*I7^3/1000</f>
        <v>347.42172768927998</v>
      </c>
      <c r="J19" s="34">
        <f>INPUTS!$E$33*(PI()*INPUTS!$E$29^2/4)*0.5*1.23*J7^3/1000</f>
        <v>333.77663842310136</v>
      </c>
      <c r="K19" s="34">
        <f>INPUTS!$E$33*(PI()*INPUTS!$E$29^2/4)*0.5*1.23*K7^3/1000</f>
        <v>407.63961822586833</v>
      </c>
      <c r="L19" s="34">
        <f>INPUTS!$E$33*(PI()*INPUTS!$E$29^2/4)*0.5*1.23*L7^3/1000</f>
        <v>431.15165434767044</v>
      </c>
      <c r="M19" s="34">
        <f>INPUTS!$E$33*(PI()*INPUTS!$E$29^2/4)*0.5*1.23*M7^3/1000</f>
        <v>491.66698331161956</v>
      </c>
      <c r="N19" s="34">
        <f>INPUTS!$E$33*(PI()*INPUTS!$E$29^2/4)*0.5*1.23*N7^3/1000</f>
        <v>548.17140312605989</v>
      </c>
      <c r="O19" s="23">
        <f>SUM(C19:N19)</f>
        <v>6460.6981367683657</v>
      </c>
    </row>
    <row r="20" spans="2:15">
      <c r="B20" s="1" t="s">
        <v>31</v>
      </c>
      <c r="C20" s="34">
        <f>INPUTS!$E$34*C19*24*30.417</f>
        <v>476377.74616784207</v>
      </c>
      <c r="D20" s="34">
        <f>INPUTS!$E$34*D19*24*30.417</f>
        <v>446299.90732653148</v>
      </c>
      <c r="E20" s="34">
        <f>INPUTS!$E$34*E19*24*30.417</f>
        <v>484102.64143812878</v>
      </c>
      <c r="F20" s="34">
        <f>INPUTS!$E$34*F19*24*30.417</f>
        <v>617014.28855125885</v>
      </c>
      <c r="G20" s="34">
        <f>INPUTS!$E$34*G19*24*30.417</f>
        <v>482163.6478533484</v>
      </c>
      <c r="H20" s="34">
        <f>INPUTS!$E$34*H19*24*30.417</f>
        <v>341708.15712446283</v>
      </c>
      <c r="I20" s="34">
        <f>INPUTS!$E$34*I19*24*30.417</f>
        <v>253620.6405869959</v>
      </c>
      <c r="J20" s="34">
        <f>INPUTS!$E$34*J19*24*30.417</f>
        <v>243659.61626197142</v>
      </c>
      <c r="K20" s="34">
        <f>INPUTS!$E$34*K19*24*30.417</f>
        <v>297580.18242182967</v>
      </c>
      <c r="L20" s="34">
        <f>INPUTS!$E$34*L19*24*30.417</f>
        <v>314744.15688703419</v>
      </c>
      <c r="M20" s="34">
        <f>INPUTS!$E$34*M19*24*30.417</f>
        <v>358920.83115334879</v>
      </c>
      <c r="N20" s="34">
        <f>INPUTS!$E$34*N19*24*30.417</f>
        <v>400169.50965324877</v>
      </c>
      <c r="O20" s="23">
        <f>SUM(C20:N20)</f>
        <v>4716361.3254260011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0"/>
  <sheetViews>
    <sheetView topLeftCell="H1" workbookViewId="0">
      <selection activeCell="C5" sqref="C5:O8"/>
    </sheetView>
  </sheetViews>
  <sheetFormatPr baseColWidth="10" defaultRowHeight="15" x14ac:dyDescent="0"/>
  <cols>
    <col min="2" max="2" width="46.33203125" customWidth="1"/>
    <col min="3" max="3" width="13.1640625" customWidth="1"/>
    <col min="15" max="15" width="15.5" customWidth="1"/>
  </cols>
  <sheetData>
    <row r="1" spans="2:15">
      <c r="B1" s="27" t="s">
        <v>45</v>
      </c>
    </row>
    <row r="2" spans="2:15" ht="30">
      <c r="B2" s="77" t="s">
        <v>92</v>
      </c>
      <c r="C2">
        <v>48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33">
        <v>3.95</v>
      </c>
      <c r="D5" s="33">
        <v>4.1100000000000003</v>
      </c>
      <c r="E5" s="33">
        <v>4.96</v>
      </c>
      <c r="F5" s="33">
        <v>5.31</v>
      </c>
      <c r="G5" s="33">
        <v>5.49</v>
      </c>
      <c r="H5" s="33">
        <v>5.68</v>
      </c>
      <c r="I5" s="33">
        <v>6.02</v>
      </c>
      <c r="J5" s="33">
        <v>5.77</v>
      </c>
      <c r="K5" s="33">
        <v>5.48</v>
      </c>
      <c r="L5" s="33">
        <v>4.93</v>
      </c>
      <c r="M5" s="33">
        <v>4.0999999999999996</v>
      </c>
      <c r="N5" s="33">
        <v>3.77</v>
      </c>
      <c r="O5" s="33">
        <v>4.97</v>
      </c>
    </row>
    <row r="6" spans="2:15" ht="31">
      <c r="B6" s="1" t="s">
        <v>14</v>
      </c>
      <c r="C6" s="33">
        <v>-2.1</v>
      </c>
      <c r="D6" s="33">
        <v>0.48</v>
      </c>
      <c r="E6" s="33">
        <v>5.73</v>
      </c>
      <c r="F6" s="33">
        <v>11.8</v>
      </c>
      <c r="G6" s="33">
        <v>17.2</v>
      </c>
      <c r="H6" s="33">
        <v>21.6</v>
      </c>
      <c r="I6" s="33">
        <v>24.3</v>
      </c>
      <c r="J6" s="33">
        <v>23.9</v>
      </c>
      <c r="K6" s="33">
        <v>19.3</v>
      </c>
      <c r="L6" s="33">
        <v>13.1</v>
      </c>
      <c r="M6" s="33">
        <v>4.8600000000000003</v>
      </c>
      <c r="N6" s="33">
        <v>-1</v>
      </c>
      <c r="O6" s="33">
        <v>11.6</v>
      </c>
    </row>
    <row r="7" spans="2:15">
      <c r="B7" s="1" t="s">
        <v>15</v>
      </c>
      <c r="C7" s="33">
        <v>7.52</v>
      </c>
      <c r="D7" s="33">
        <v>7.65</v>
      </c>
      <c r="E7" s="33">
        <v>8.4</v>
      </c>
      <c r="F7" s="33">
        <v>9.07</v>
      </c>
      <c r="G7" s="33">
        <v>8.2200000000000006</v>
      </c>
      <c r="H7" s="33">
        <v>7.66</v>
      </c>
      <c r="I7" s="33">
        <v>7.16</v>
      </c>
      <c r="J7" s="33">
        <v>6.93</v>
      </c>
      <c r="K7" s="33">
        <v>7.28</v>
      </c>
      <c r="L7" s="33">
        <v>7.34</v>
      </c>
      <c r="M7" s="33">
        <v>7.45</v>
      </c>
      <c r="N7" s="33">
        <v>7.4</v>
      </c>
      <c r="O7" s="33">
        <v>7.67</v>
      </c>
    </row>
    <row r="8" spans="2:15">
      <c r="B8" s="1" t="s">
        <v>16</v>
      </c>
      <c r="C8" s="33">
        <v>9.7799999999999994</v>
      </c>
      <c r="D8" s="33">
        <v>10.8</v>
      </c>
      <c r="E8" s="33">
        <v>11.9</v>
      </c>
      <c r="F8" s="33">
        <v>13.2</v>
      </c>
      <c r="G8" s="33">
        <v>14.2</v>
      </c>
      <c r="H8" s="33">
        <v>14.8</v>
      </c>
      <c r="I8" s="33">
        <v>14.6</v>
      </c>
      <c r="J8" s="33">
        <v>13.6</v>
      </c>
      <c r="K8" s="33">
        <v>12.4</v>
      </c>
      <c r="L8" s="33">
        <v>11.2</v>
      </c>
      <c r="M8" s="33">
        <v>10.1</v>
      </c>
      <c r="N8" s="33">
        <v>9.51</v>
      </c>
      <c r="O8" s="26">
        <f t="shared" ref="O8" si="0">AVERAGE(C8:N8)</f>
        <v>12.174166666666665</v>
      </c>
    </row>
    <row r="11" spans="2:15" ht="16">
      <c r="B11" t="s">
        <v>17</v>
      </c>
      <c r="C11" t="s">
        <v>58</v>
      </c>
    </row>
    <row r="12" spans="2:15">
      <c r="B12" t="s">
        <v>19</v>
      </c>
      <c r="C12">
        <v>38.9</v>
      </c>
    </row>
    <row r="13" spans="2:15">
      <c r="B13" t="s">
        <v>20</v>
      </c>
      <c r="C13">
        <v>-98.85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32652900</v>
      </c>
      <c r="D15" s="110">
        <f>O5*365*3600*INPUTS!$E$40*INPUTS!$E$39/1000</f>
        <v>31020255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761370.65844660008</v>
      </c>
      <c r="D18" s="34">
        <f>INPUTS!$E$45*INPUTS!$E$38*INPUTS!$E$40*((INPUTS!$E$42*D5*30.417*(3600/1000))-(INPUTS!$E$43*(INPUTS!$E$44-D6)*(D8-2)*3600*30.417)/(10^6))</f>
        <v>784569.08992319996</v>
      </c>
      <c r="E18" s="34">
        <f>INPUTS!$E$45*INPUTS!$E$38*INPUTS!$E$40*((INPUTS!$E$42*E5*30.417*(3600/1000))-(INPUTS!$E$43*(INPUTS!$E$44-E6)*(E8-2)*3600*30.417)/(10^6))</f>
        <v>1117185.6371211</v>
      </c>
      <c r="F18" s="34">
        <f>INPUTS!$E$45*INPUTS!$E$38*INPUTS!$E$40*((INPUTS!$E$42*F5*30.417*(3600/1000))-(INPUTS!$E$43*(INPUTS!$E$44-F6)*(F8-2)*3600*30.417)/(10^6))</f>
        <v>1307733.411168</v>
      </c>
      <c r="G18" s="34">
        <f>INPUTS!$E$45*INPUTS!$E$38*INPUTS!$E$40*((INPUTS!$E$42*G5*30.417*(3600/1000))-(INPUTS!$E$43*(INPUTS!$E$44-G6)*(G8-2)*3600*30.417)/(10^6))</f>
        <v>1466233.113132</v>
      </c>
      <c r="H18" s="34">
        <f>INPUTS!$E$45*INPUTS!$E$38*INPUTS!$E$40*((INPUTS!$E$42*H5*30.417*(3600/1000))-(INPUTS!$E$43*(INPUTS!$E$44-H6)*(H8-2)*3600*30.417)/(10^6))</f>
        <v>1634844.1559040002</v>
      </c>
      <c r="I18" s="34">
        <f>INPUTS!$E$45*INPUTS!$E$38*INPUTS!$E$40*((INPUTS!$E$42*I5*30.417*(3600/1000))-(INPUTS!$E$43*(INPUTS!$E$44-I6)*(I8-2)*3600*30.417)/(10^6))</f>
        <v>1836849.2321339999</v>
      </c>
      <c r="J18" s="34">
        <f>INPUTS!$E$45*INPUTS!$E$38*INPUTS!$E$40*((INPUTS!$E$42*J5*30.417*(3600/1000))-(INPUTS!$E$43*(INPUTS!$E$44-J6)*(J8-2)*3600*30.417)/(10^6))</f>
        <v>1761590.6998920001</v>
      </c>
      <c r="K18" s="34">
        <f>INPUTS!$E$45*INPUTS!$E$38*INPUTS!$E$40*((INPUTS!$E$42*K5*30.417*(3600/1000))-(INPUTS!$E$43*(INPUTS!$E$44-K6)*(K8-2)*3600*30.417)/(10^6))</f>
        <v>1582158.7485360003</v>
      </c>
      <c r="L18" s="34">
        <f>INPUTS!$E$45*INPUTS!$E$38*INPUTS!$E$40*((INPUTS!$E$42*L5*30.417*(3600/1000))-(INPUTS!$E$43*(INPUTS!$E$44-L6)*(L8-2)*3600*30.417)/(10^6))</f>
        <v>1302322.9568760002</v>
      </c>
      <c r="M18" s="34">
        <f>INPUTS!$E$45*INPUTS!$E$38*INPUTS!$E$40*((INPUTS!$E$42*M5*30.417*(3600/1000))-(INPUTS!$E$43*(INPUTS!$E$44-M6)*(M8-2)*3600*30.417)/(10^6))</f>
        <v>913271.38009380002</v>
      </c>
      <c r="N18" s="34">
        <f>INPUTS!$E$45*INPUTS!$E$38*INPUTS!$E$40*((INPUTS!$E$42*N5*30.417*(3600/1000))-(INPUTS!$E$43*(INPUTS!$E$44-N6)*(N8-2)*3600*30.417)/(10^6))</f>
        <v>738039.18301200017</v>
      </c>
      <c r="O18" s="23">
        <f>SUM(C18:N18)</f>
        <v>15206168.266238699</v>
      </c>
    </row>
    <row r="19" spans="2:15">
      <c r="B19" s="1" t="s">
        <v>33</v>
      </c>
      <c r="C19" s="34">
        <f>INPUTS!$E$33*(PI()*INPUTS!$E$29^2/4)*0.5*1.23*C7^3/1000</f>
        <v>673.84275145257016</v>
      </c>
      <c r="D19" s="34">
        <f>INPUTS!$E$33*(PI()*INPUTS!$E$29^2/4)*0.5*1.23*D7^3/1000</f>
        <v>709.39699536571686</v>
      </c>
      <c r="E19" s="34">
        <f>INPUTS!$E$33*(PI()*INPUTS!$E$29^2/4)*0.5*1.23*E7^3/1000</f>
        <v>939.16715846956095</v>
      </c>
      <c r="F19" s="34">
        <f>INPUTS!$E$33*(PI()*INPUTS!$E$29^2/4)*0.5*1.23*F7^3/1000</f>
        <v>1182.2978516076794</v>
      </c>
      <c r="G19" s="34">
        <f>INPUTS!$E$33*(PI()*INPUTS!$E$29^2/4)*0.5*1.23*G7^3/1000</f>
        <v>880.07663645487651</v>
      </c>
      <c r="H19" s="34">
        <f>INPUTS!$E$33*(PI()*INPUTS!$E$29^2/4)*0.5*1.23*H7^3/1000</f>
        <v>712.18258248634004</v>
      </c>
      <c r="I19" s="34">
        <f>INPUTS!$E$33*(PI()*INPUTS!$E$29^2/4)*0.5*1.23*I7^3/1000</f>
        <v>581.62639363887831</v>
      </c>
      <c r="J19" s="34">
        <f>INPUTS!$E$33*(PI()*INPUTS!$E$29^2/4)*0.5*1.23*J7^3/1000</f>
        <v>527.35703396750944</v>
      </c>
      <c r="K19" s="34">
        <f>INPUTS!$E$33*(PI()*INPUTS!$E$29^2/4)*0.5*1.23*K7^3/1000</f>
        <v>611.36303619485193</v>
      </c>
      <c r="L19" s="34">
        <f>INPUTS!$E$33*(PI()*INPUTS!$E$29^2/4)*0.5*1.23*L7^3/1000</f>
        <v>626.60408088230406</v>
      </c>
      <c r="M19" s="34">
        <f>INPUTS!$E$33*(PI()*INPUTS!$E$29^2/4)*0.5*1.23*M7^3/1000</f>
        <v>655.19995282051104</v>
      </c>
      <c r="N19" s="34">
        <f>INPUTS!$E$33*(PI()*INPUTS!$E$29^2/4)*0.5*1.23*N7^3/1000</f>
        <v>642.09634593940541</v>
      </c>
      <c r="O19" s="23">
        <f>SUM(C19:N19)</f>
        <v>8741.2108192802043</v>
      </c>
    </row>
    <row r="20" spans="2:15">
      <c r="B20" s="1" t="s">
        <v>31</v>
      </c>
      <c r="C20" s="34">
        <f>INPUTS!$E$34*C19*24*30.417</f>
        <v>491910.59930238785</v>
      </c>
      <c r="D20" s="34">
        <f>INPUTS!$E$34*D19*24*30.417</f>
        <v>517865.48179293622</v>
      </c>
      <c r="E20" s="34">
        <f>INPUTS!$E$34*E19*24*30.417</f>
        <v>685599.53902004729</v>
      </c>
      <c r="F20" s="34">
        <f>INPUTS!$E$34*F19*24*30.417</f>
        <v>863086.89005641895</v>
      </c>
      <c r="G20" s="34">
        <f>INPUTS!$E$34*G19*24*30.417</f>
        <v>642462.98522515153</v>
      </c>
      <c r="H20" s="34">
        <f>INPUTS!$E$34*H19*24*30.417</f>
        <v>519898.98267568817</v>
      </c>
      <c r="I20" s="34">
        <f>INPUTS!$E$34*I19*24*30.417</f>
        <v>424591.92036753031</v>
      </c>
      <c r="J20" s="34">
        <f>INPUTS!$E$34*J19*24*30.417</f>
        <v>384974.85365255369</v>
      </c>
      <c r="K20" s="34">
        <f>INPUTS!$E$34*K19*24*30.417</f>
        <v>446299.90732653148</v>
      </c>
      <c r="L20" s="34">
        <f>INPUTS!$E$34*L19*24*30.417</f>
        <v>457425.99187672907</v>
      </c>
      <c r="M20" s="34">
        <f>INPUTS!$E$34*M19*24*30.417</f>
        <v>478301.20715859567</v>
      </c>
      <c r="N20" s="34">
        <f>INPUTS!$E$34*N19*24*30.417</f>
        <v>468735.46930653352</v>
      </c>
      <c r="O20" s="23">
        <f>SUM(C20:N20)</f>
        <v>6381153.8277611034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workbookViewId="0">
      <selection activeCell="C20" sqref="C20:N20"/>
    </sheetView>
  </sheetViews>
  <sheetFormatPr baseColWidth="10" defaultRowHeight="15" x14ac:dyDescent="0"/>
  <cols>
    <col min="2" max="2" width="43.6640625" customWidth="1"/>
    <col min="3" max="3" width="12" customWidth="1"/>
    <col min="15" max="15" width="13.5" customWidth="1"/>
  </cols>
  <sheetData>
    <row r="2" spans="2:15" ht="30">
      <c r="B2" s="77" t="s">
        <v>92</v>
      </c>
      <c r="C2">
        <v>110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 ht="30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25">
        <v>4.04</v>
      </c>
      <c r="D5" s="25">
        <v>4.3099999999999996</v>
      </c>
      <c r="E5" s="25">
        <v>5.26</v>
      </c>
      <c r="F5" s="25">
        <v>5.75</v>
      </c>
      <c r="G5" s="25">
        <v>5.84</v>
      </c>
      <c r="H5" s="25">
        <v>5.92</v>
      </c>
      <c r="I5" s="25">
        <v>6.22</v>
      </c>
      <c r="J5" s="25">
        <v>5.9</v>
      </c>
      <c r="K5" s="25">
        <v>5.7</v>
      </c>
      <c r="L5" s="25">
        <v>5.19</v>
      </c>
      <c r="M5" s="25">
        <v>4.32</v>
      </c>
      <c r="N5" s="25">
        <v>3.84</v>
      </c>
      <c r="O5" s="25">
        <v>5.2</v>
      </c>
    </row>
    <row r="6" spans="2:15" ht="31">
      <c r="B6" s="1" t="s">
        <v>14</v>
      </c>
      <c r="C6" s="25">
        <v>-0.84</v>
      </c>
      <c r="D6" s="25">
        <v>1.52</v>
      </c>
      <c r="E6" s="25">
        <v>6.27</v>
      </c>
      <c r="F6" s="25">
        <v>12.3</v>
      </c>
      <c r="G6" s="25">
        <v>17.100000000000001</v>
      </c>
      <c r="H6" s="25">
        <v>21</v>
      </c>
      <c r="I6" s="25">
        <v>23.6</v>
      </c>
      <c r="J6" s="25">
        <v>22.9</v>
      </c>
      <c r="K6" s="25">
        <v>18.7</v>
      </c>
      <c r="L6" s="25">
        <v>12.6</v>
      </c>
      <c r="M6" s="25">
        <v>4.88</v>
      </c>
      <c r="N6" s="25">
        <v>-0.42</v>
      </c>
      <c r="O6" s="25">
        <v>11.7</v>
      </c>
    </row>
    <row r="7" spans="2:15">
      <c r="B7" s="1" t="s">
        <v>15</v>
      </c>
      <c r="C7" s="25">
        <v>7.88</v>
      </c>
      <c r="D7" s="25">
        <v>8.01</v>
      </c>
      <c r="E7" s="25">
        <v>8.75</v>
      </c>
      <c r="F7" s="25">
        <v>9.43</v>
      </c>
      <c r="G7" s="25">
        <v>8.7100000000000009</v>
      </c>
      <c r="H7" s="25">
        <v>8.2100000000000009</v>
      </c>
      <c r="I7" s="25">
        <v>7.81</v>
      </c>
      <c r="J7" s="25">
        <v>7.49</v>
      </c>
      <c r="K7" s="25">
        <v>7.86</v>
      </c>
      <c r="L7" s="25">
        <v>7.81</v>
      </c>
      <c r="M7" s="25">
        <v>7.82</v>
      </c>
      <c r="N7" s="25">
        <v>7.75</v>
      </c>
      <c r="O7" s="25">
        <v>8.1300000000000008</v>
      </c>
    </row>
    <row r="8" spans="2:15">
      <c r="B8" s="1" t="s">
        <v>16</v>
      </c>
      <c r="C8" s="25">
        <v>9.93</v>
      </c>
      <c r="D8" s="25">
        <v>10.8</v>
      </c>
      <c r="E8" s="25">
        <v>11.9</v>
      </c>
      <c r="F8" s="25">
        <v>13.1</v>
      </c>
      <c r="G8" s="25">
        <v>14.1</v>
      </c>
      <c r="H8" s="25">
        <v>14.6</v>
      </c>
      <c r="I8" s="25">
        <v>14.4</v>
      </c>
      <c r="J8" s="25">
        <v>13.5</v>
      </c>
      <c r="K8" s="25">
        <v>12.4</v>
      </c>
      <c r="L8" s="25">
        <v>11.2</v>
      </c>
      <c r="M8" s="25">
        <v>10.199999999999999</v>
      </c>
      <c r="N8" s="25">
        <v>9.68</v>
      </c>
      <c r="O8" s="26">
        <f t="shared" ref="O8" si="0">AVERAGE(C8:N8)</f>
        <v>12.150833333333336</v>
      </c>
    </row>
    <row r="11" spans="2:15" ht="16">
      <c r="B11" t="s">
        <v>17</v>
      </c>
      <c r="C11" t="s">
        <v>59</v>
      </c>
    </row>
    <row r="12" spans="2:15">
      <c r="B12" t="s">
        <v>19</v>
      </c>
      <c r="C12">
        <v>37.08</v>
      </c>
    </row>
    <row r="13" spans="2:15">
      <c r="B13" t="s">
        <v>20</v>
      </c>
      <c r="C13">
        <v>-100.85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34164000</v>
      </c>
      <c r="D15" s="110">
        <f>O5*365*3600*INPUTS!$E$40*INPUTS!$E$39/1000</f>
        <v>32455800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803117.19158784009</v>
      </c>
      <c r="D18" s="34">
        <f>INPUTS!$E$45*INPUTS!$E$38*INPUTS!$E$40*((INPUTS!$E$42*D5*30.417*(3600/1000))-(INPUTS!$E$43*(INPUTS!$E$44-D6)*(D8-2)*3600*30.417)/(10^6))</f>
        <v>875819.5059168</v>
      </c>
      <c r="E18" s="34">
        <f>INPUTS!$E$45*INPUTS!$E$38*INPUTS!$E$40*((INPUTS!$E$42*E5*30.417*(3600/1000))-(INPUTS!$E$43*(INPUTS!$E$44-E6)*(E8-2)*3600*30.417)/(10^6))</f>
        <v>1235475.0201789001</v>
      </c>
      <c r="F18" s="34">
        <f>INPUTS!$E$45*INPUTS!$E$38*INPUTS!$E$40*((INPUTS!$E$42*F5*30.417*(3600/1000))-(INPUTS!$E$43*(INPUTS!$E$44-F6)*(F8-2)*3600*30.417)/(10^6))</f>
        <v>1481289.254379</v>
      </c>
      <c r="G18" s="34">
        <f>INPUTS!$E$45*INPUTS!$E$38*INPUTS!$E$40*((INPUTS!$E$42*G5*30.417*(3600/1000))-(INPUTS!$E$43*(INPUTS!$E$44-G6)*(G8-2)*3600*30.417)/(10^6))</f>
        <v>1591671.3915330002</v>
      </c>
      <c r="H18" s="34">
        <f>INPUTS!$E$45*INPUTS!$E$38*INPUTS!$E$40*((INPUTS!$E$42*H5*30.417*(3600/1000))-(INPUTS!$E$43*(INPUTS!$E$44-H6)*(H8-2)*3600*30.417)/(10^6))</f>
        <v>1709171.38044</v>
      </c>
      <c r="I18" s="34">
        <f>INPUTS!$E$45*INPUTS!$E$38*INPUTS!$E$40*((INPUTS!$E$42*I5*30.417*(3600/1000))-(INPUTS!$E$43*(INPUTS!$E$44-I6)*(I8-2)*3600*30.417)/(10^6))</f>
        <v>1893304.2183120004</v>
      </c>
      <c r="J18" s="34">
        <f>INPUTS!$E$45*INPUTS!$E$38*INPUTS!$E$40*((INPUTS!$E$42*J5*30.417*(3600/1000))-(INPUTS!$E$43*(INPUTS!$E$44-J6)*(J8-2)*3600*30.417)/(10^6))</f>
        <v>1784673.8266050001</v>
      </c>
      <c r="K18" s="34">
        <f>INPUTS!$E$45*INPUTS!$E$38*INPUTS!$E$40*((INPUTS!$E$42*K5*30.417*(3600/1000))-(INPUTS!$E$43*(INPUTS!$E$44-K6)*(K8-2)*3600*30.417)/(10^6))</f>
        <v>1646374.6322640001</v>
      </c>
      <c r="L18" s="34">
        <f>INPUTS!$E$45*INPUTS!$E$38*INPUTS!$E$40*((INPUTS!$E$42*L5*30.417*(3600/1000))-(INPUTS!$E$43*(INPUTS!$E$44-L6)*(L8-2)*3600*30.417)/(10^6))</f>
        <v>1384366.7309760004</v>
      </c>
      <c r="M18" s="34">
        <f>INPUTS!$E$45*INPUTS!$E$38*INPUTS!$E$40*((INPUTS!$E$42*M5*30.417*(3600/1000))-(INPUTS!$E$43*(INPUTS!$E$44-M6)*(M8-2)*3600*30.417)/(10^6))</f>
        <v>985004.24744880025</v>
      </c>
      <c r="N18" s="34">
        <f>INPUTS!$E$45*INPUTS!$E$38*INPUTS!$E$40*((INPUTS!$E$42*N5*30.417*(3600/1000))-(INPUTS!$E$43*(INPUTS!$E$44-N6)*(N8-2)*3600*30.417)/(10^6))</f>
        <v>759180.75489792018</v>
      </c>
      <c r="O18" s="23">
        <f>SUM(C18:N18)</f>
        <v>16149448.154539261</v>
      </c>
    </row>
    <row r="19" spans="2:15">
      <c r="B19" s="1" t="s">
        <v>33</v>
      </c>
      <c r="C19" s="34">
        <f>INPUTS!$E$33*(PI()*INPUTS!$E$29^2/4)*0.5*1.23*C7^3/1000</f>
        <v>775.32482840404941</v>
      </c>
      <c r="D19" s="34">
        <f>INPUTS!$E$33*(PI()*INPUTS!$E$29^2/4)*0.5*1.23*D7^3/1000</f>
        <v>814.3340369240367</v>
      </c>
      <c r="E19" s="34">
        <f>INPUTS!$E$33*(PI()*INPUTS!$E$29^2/4)*0.5*1.23*E7^3/1000</f>
        <v>1061.5224863344104</v>
      </c>
      <c r="F19" s="34">
        <f>INPUTS!$E$33*(PI()*INPUTS!$E$29^2/4)*0.5*1.23*F7^3/1000</f>
        <v>1328.7403315673425</v>
      </c>
      <c r="G19" s="34">
        <f>INPUTS!$E$33*(PI()*INPUTS!$E$29^2/4)*0.5*1.23*G7^3/1000</f>
        <v>1047.0309132144698</v>
      </c>
      <c r="H19" s="34">
        <f>INPUTS!$E$33*(PI()*INPUTS!$E$29^2/4)*0.5*1.23*H7^3/1000</f>
        <v>876.86858383524793</v>
      </c>
      <c r="I19" s="34">
        <f>INPUTS!$E$33*(PI()*INPUTS!$E$29^2/4)*0.5*1.23*I7^3/1000</f>
        <v>754.84562256033962</v>
      </c>
      <c r="J19" s="34">
        <f>INPUTS!$E$33*(PI()*INPUTS!$E$29^2/4)*0.5*1.23*J7^3/1000</f>
        <v>665.81027390800136</v>
      </c>
      <c r="K19" s="34">
        <f>INPUTS!$E$33*(PI()*INPUTS!$E$29^2/4)*0.5*1.23*K7^3/1000</f>
        <v>769.43631065998306</v>
      </c>
      <c r="L19" s="34">
        <f>INPUTS!$E$33*(PI()*INPUTS!$E$29^2/4)*0.5*1.23*L7^3/1000</f>
        <v>754.84562256033962</v>
      </c>
      <c r="M19" s="34">
        <f>INPUTS!$E$33*(PI()*INPUTS!$E$29^2/4)*0.5*1.23*M7^3/1000</f>
        <v>757.74887177961489</v>
      </c>
      <c r="N19" s="34">
        <f>INPUTS!$E$33*(PI()*INPUTS!$E$29^2/4)*0.5*1.23*N7^3/1000</f>
        <v>737.58172339098337</v>
      </c>
      <c r="O19" s="23">
        <f>SUM(C19:N19)</f>
        <v>10344.089605138819</v>
      </c>
    </row>
    <row r="20" spans="2:15">
      <c r="B20" s="1" t="s">
        <v>31</v>
      </c>
      <c r="C20" s="34">
        <f>INPUTS!$E$34*C19*24*30.417</f>
        <v>565993.32733358338</v>
      </c>
      <c r="D20" s="34">
        <f>INPUTS!$E$34*D19*24*30.417</f>
        <v>594470.36162684218</v>
      </c>
      <c r="E20" s="34">
        <f>INPUTS!$E$34*E19*24*30.417</f>
        <v>774919.90720401029</v>
      </c>
      <c r="F20" s="34">
        <f>INPUTS!$E$34*F19*24*30.417</f>
        <v>969991.0719668126</v>
      </c>
      <c r="G20" s="34">
        <f>INPUTS!$E$34*G19*24*30.417</f>
        <v>764340.94289386878</v>
      </c>
      <c r="H20" s="34">
        <f>INPUTS!$E$34*H19*24*30.417</f>
        <v>640121.08114840172</v>
      </c>
      <c r="I20" s="34">
        <f>INPUTS!$E$34*I19*24*30.417</f>
        <v>551043.34323402843</v>
      </c>
      <c r="J20" s="34">
        <f>INPUTS!$E$34*J19*24*30.417</f>
        <v>486046.8264350323</v>
      </c>
      <c r="K20" s="34">
        <f>INPUTS!$E$34*K19*24*30.417</f>
        <v>561694.66227227298</v>
      </c>
      <c r="L20" s="34">
        <f>INPUTS!$E$34*L19*24*30.417</f>
        <v>551043.34323402843</v>
      </c>
      <c r="M20" s="34">
        <f>INPUTS!$E$34*M19*24*30.417</f>
        <v>553162.73839009309</v>
      </c>
      <c r="N20" s="34">
        <f>INPUTS!$E$34*N19*24*30.417</f>
        <v>538440.55872920505</v>
      </c>
      <c r="O20" s="23">
        <f>SUM(C20:N20)</f>
        <v>7551268.1644681795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D1" workbookViewId="0">
      <selection activeCell="C5" sqref="C5:O8"/>
    </sheetView>
  </sheetViews>
  <sheetFormatPr baseColWidth="10" defaultRowHeight="15" x14ac:dyDescent="0"/>
  <cols>
    <col min="2" max="2" width="36.6640625" customWidth="1"/>
    <col min="3" max="3" width="13.6640625" customWidth="1"/>
    <col min="15" max="15" width="15.33203125" customWidth="1"/>
  </cols>
  <sheetData>
    <row r="2" spans="2:15" ht="30">
      <c r="B2" s="77" t="s">
        <v>92</v>
      </c>
      <c r="C2">
        <v>110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33">
        <v>4.4000000000000004</v>
      </c>
      <c r="D5" s="33">
        <v>4.76</v>
      </c>
      <c r="E5" s="33">
        <v>5.81</v>
      </c>
      <c r="F5" s="33">
        <v>6.33</v>
      </c>
      <c r="G5" s="33">
        <v>6.07</v>
      </c>
      <c r="H5" s="33">
        <v>6.15</v>
      </c>
      <c r="I5" s="33">
        <v>6.31</v>
      </c>
      <c r="J5" s="33">
        <v>5.96</v>
      </c>
      <c r="K5" s="33">
        <v>5.71</v>
      </c>
      <c r="L5" s="33">
        <v>5.56</v>
      </c>
      <c r="M5" s="33">
        <v>4.66</v>
      </c>
      <c r="N5" s="33">
        <v>4.22</v>
      </c>
      <c r="O5" s="33">
        <v>5.5</v>
      </c>
    </row>
    <row r="6" spans="2:15" ht="31">
      <c r="B6" s="1" t="s">
        <v>14</v>
      </c>
      <c r="C6" s="33">
        <v>2.63</v>
      </c>
      <c r="D6" s="33">
        <v>5.12</v>
      </c>
      <c r="E6" s="33">
        <v>9.4600000000000009</v>
      </c>
      <c r="F6" s="33">
        <v>14.9</v>
      </c>
      <c r="G6" s="33">
        <v>18.8</v>
      </c>
      <c r="H6" s="33">
        <v>21.8</v>
      </c>
      <c r="I6" s="33">
        <v>24.2</v>
      </c>
      <c r="J6" s="33">
        <v>23.6</v>
      </c>
      <c r="K6" s="33">
        <v>19.8</v>
      </c>
      <c r="L6" s="33">
        <v>14.7</v>
      </c>
      <c r="M6" s="33">
        <v>7.66</v>
      </c>
      <c r="N6" s="33">
        <v>2.36</v>
      </c>
      <c r="O6" s="33">
        <v>13.8</v>
      </c>
    </row>
    <row r="7" spans="2:15" ht="30">
      <c r="B7" s="1" t="s">
        <v>15</v>
      </c>
      <c r="C7" s="33">
        <v>7.52</v>
      </c>
      <c r="D7" s="33">
        <v>7.84</v>
      </c>
      <c r="E7" s="33">
        <v>8.41</v>
      </c>
      <c r="F7" s="33">
        <v>8.89</v>
      </c>
      <c r="G7" s="33">
        <v>8.3800000000000008</v>
      </c>
      <c r="H7" s="33">
        <v>8.02</v>
      </c>
      <c r="I7" s="33">
        <v>7.41</v>
      </c>
      <c r="J7" s="33">
        <v>7.01</v>
      </c>
      <c r="K7" s="33">
        <v>7.41</v>
      </c>
      <c r="L7" s="33">
        <v>7.49</v>
      </c>
      <c r="M7" s="33">
        <v>7.63</v>
      </c>
      <c r="N7" s="33">
        <v>7.47</v>
      </c>
      <c r="O7" s="33">
        <v>7.79</v>
      </c>
    </row>
    <row r="8" spans="2:15">
      <c r="B8" s="1" t="s">
        <v>16</v>
      </c>
      <c r="C8" s="33">
        <v>10.1</v>
      </c>
      <c r="D8" s="33">
        <v>11</v>
      </c>
      <c r="E8" s="33">
        <v>11.9</v>
      </c>
      <c r="F8" s="33">
        <v>13</v>
      </c>
      <c r="G8" s="33">
        <v>13.9</v>
      </c>
      <c r="H8" s="33">
        <v>14.3</v>
      </c>
      <c r="I8" s="33">
        <v>14.2</v>
      </c>
      <c r="J8" s="33">
        <v>13.4</v>
      </c>
      <c r="K8" s="33">
        <v>12.4</v>
      </c>
      <c r="L8" s="33">
        <v>11.3</v>
      </c>
      <c r="M8" s="33">
        <v>10.4</v>
      </c>
      <c r="N8" s="33">
        <v>9.93</v>
      </c>
      <c r="O8" s="26">
        <f t="shared" ref="O8" si="0">AVERAGE(C8:N8)</f>
        <v>12.152500000000002</v>
      </c>
    </row>
    <row r="11" spans="2:15" ht="16">
      <c r="B11" t="s">
        <v>17</v>
      </c>
      <c r="C11" t="s">
        <v>60</v>
      </c>
    </row>
    <row r="12" spans="2:15">
      <c r="B12" t="s">
        <v>19</v>
      </c>
      <c r="C12">
        <v>34.18</v>
      </c>
    </row>
    <row r="13" spans="2:15">
      <c r="B13" t="s">
        <v>20</v>
      </c>
      <c r="C13">
        <v>-101.63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36135000</v>
      </c>
      <c r="D15" s="110">
        <f>O5*365*3600*INPUTS!$E$40*INPUTS!$E$39/1000</f>
        <v>34328250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979653.66293790017</v>
      </c>
      <c r="D18" s="34">
        <f>INPUTS!$E$45*INPUTS!$E$38*INPUTS!$E$40*((INPUTS!$E$42*D5*30.417*(3600/1000))-(INPUTS!$E$43*(INPUTS!$E$44-D6)*(D8-2)*3600*30.417)/(10^6))</f>
        <v>1092468.2871239998</v>
      </c>
      <c r="E18" s="34">
        <f>INPUTS!$E$45*INPUTS!$E$38*INPUTS!$E$40*((INPUTS!$E$42*E5*30.417*(3600/1000))-(INPUTS!$E$43*(INPUTS!$E$44-E6)*(E8-2)*3600*30.417)/(10^6))</f>
        <v>1500633.8458721996</v>
      </c>
      <c r="F18" s="34">
        <f>INPUTS!$E$45*INPUTS!$E$38*INPUTS!$E$40*((INPUTS!$E$42*F5*30.417*(3600/1000))-(INPUTS!$E$43*(INPUTS!$E$44-F6)*(F8-2)*3600*30.417)/(10^6))</f>
        <v>1755515.02581</v>
      </c>
      <c r="G18" s="34">
        <f>INPUTS!$E$45*INPUTS!$E$38*INPUTS!$E$40*((INPUTS!$E$42*G5*30.417*(3600/1000))-(INPUTS!$E$43*(INPUTS!$E$44-G6)*(G8-2)*3600*30.417)/(10^6))</f>
        <v>1726067.9631060003</v>
      </c>
      <c r="H18" s="34">
        <f>INPUTS!$E$45*INPUTS!$E$38*INPUTS!$E$40*((INPUTS!$E$42*H5*30.417*(3600/1000))-(INPUTS!$E$43*(INPUTS!$E$44-H6)*(H8-2)*3600*30.417)/(10^6))</f>
        <v>1821903.9608519999</v>
      </c>
      <c r="I18" s="34">
        <f>INPUTS!$E$45*INPUTS!$E$38*INPUTS!$E$40*((INPUTS!$E$42*I5*30.417*(3600/1000))-(INPUTS!$E$43*(INPUTS!$E$44-I6)*(I8-2)*3600*30.417)/(10^6))</f>
        <v>1946521.8015119997</v>
      </c>
      <c r="J18" s="34">
        <f>INPUTS!$E$45*INPUTS!$E$38*INPUTS!$E$40*((INPUTS!$E$42*J5*30.417*(3600/1000))-(INPUTS!$E$43*(INPUTS!$E$44-J6)*(J8-2)*3600*30.417)/(10^6))</f>
        <v>1826338.7594520003</v>
      </c>
      <c r="K18" s="34">
        <f>INPUTS!$E$45*INPUTS!$E$38*INPUTS!$E$40*((INPUTS!$E$42*K5*30.417*(3600/1000))-(INPUTS!$E$43*(INPUTS!$E$44-K6)*(K8-2)*3600*30.417)/(10^6))</f>
        <v>1675289.519136</v>
      </c>
      <c r="L18" s="34">
        <f>INPUTS!$E$45*INPUTS!$E$38*INPUTS!$E$40*((INPUTS!$E$42*L5*30.417*(3600/1000))-(INPUTS!$E$43*(INPUTS!$E$44-L6)*(L8-2)*3600*30.417)/(10^6))</f>
        <v>1553975.6034329999</v>
      </c>
      <c r="M18" s="34">
        <f>INPUTS!$E$45*INPUTS!$E$38*INPUTS!$E$40*((INPUTS!$E$42*M5*30.417*(3600/1000))-(INPUTS!$E$43*(INPUTS!$E$44-M6)*(M8-2)*3600*30.417)/(10^6))</f>
        <v>1144053.8644391999</v>
      </c>
      <c r="N18" s="34">
        <f>INPUTS!$E$45*INPUTS!$E$38*INPUTS!$E$40*((INPUTS!$E$42*N5*30.417*(3600/1000))-(INPUTS!$E$43*(INPUTS!$E$44-N6)*(N8-2)*3600*30.417)/(10^6))</f>
        <v>923247.01606464025</v>
      </c>
      <c r="O18" s="23">
        <f>SUM(C18:N18)</f>
        <v>17945669.309738938</v>
      </c>
    </row>
    <row r="19" spans="2:15">
      <c r="B19" s="1" t="s">
        <v>33</v>
      </c>
      <c r="C19" s="34">
        <f>INPUTS!$E$33*(PI()*INPUTS!$E$29^2/4)*0.5*1.23*C7^3/1000</f>
        <v>673.84275145257016</v>
      </c>
      <c r="D19" s="34">
        <f>INPUTS!$E$33*(PI()*INPUTS!$E$29^2/4)*0.5*1.23*D7^3/1000</f>
        <v>763.57768380458515</v>
      </c>
      <c r="E19" s="34">
        <f>INPUTS!$E$33*(PI()*INPUTS!$E$29^2/4)*0.5*1.23*E7^3/1000</f>
        <v>942.52532153485959</v>
      </c>
      <c r="F19" s="34">
        <f>INPUTS!$E$33*(PI()*INPUTS!$E$29^2/4)*0.5*1.23*F7^3/1000</f>
        <v>1113.2951629440711</v>
      </c>
      <c r="G19" s="34">
        <f>INPUTS!$E$33*(PI()*INPUTS!$E$29^2/4)*0.5*1.23*G7^3/1000</f>
        <v>932.4747811775627</v>
      </c>
      <c r="H19" s="34">
        <f>INPUTS!$E$33*(PI()*INPUTS!$E$29^2/4)*0.5*1.23*H7^3/1000</f>
        <v>817.38778638746612</v>
      </c>
      <c r="I19" s="34">
        <f>INPUTS!$E$33*(PI()*INPUTS!$E$29^2/4)*0.5*1.23*I7^3/1000</f>
        <v>644.70295851194203</v>
      </c>
      <c r="J19" s="34">
        <f>INPUTS!$E$33*(PI()*INPUTS!$E$29^2/4)*0.5*1.23*J7^3/1000</f>
        <v>545.83212576296</v>
      </c>
      <c r="K19" s="34">
        <f>INPUTS!$E$33*(PI()*INPUTS!$E$29^2/4)*0.5*1.23*K7^3/1000</f>
        <v>644.70295851194203</v>
      </c>
      <c r="L19" s="34">
        <f>INPUTS!$E$33*(PI()*INPUTS!$E$29^2/4)*0.5*1.23*L7^3/1000</f>
        <v>665.81027390800136</v>
      </c>
      <c r="M19" s="34">
        <f>INPUTS!$E$33*(PI()*INPUTS!$E$29^2/4)*0.5*1.23*M7^3/1000</f>
        <v>703.84763082504446</v>
      </c>
      <c r="N19" s="34">
        <f>INPUTS!$E$33*(PI()*INPUTS!$E$29^2/4)*0.5*1.23*N7^3/1000</f>
        <v>660.49090948777052</v>
      </c>
      <c r="O19" s="23">
        <f>SUM(C19:N19)</f>
        <v>9108.4903443087733</v>
      </c>
    </row>
    <row r="20" spans="2:15">
      <c r="B20" s="1" t="s">
        <v>31</v>
      </c>
      <c r="C20" s="34">
        <f>INPUTS!$E$34*C19*24*30.417</f>
        <v>491910.59930238785</v>
      </c>
      <c r="D20" s="34">
        <f>INPUTS!$E$34*D19*24*30.417</f>
        <v>557417.81779881765</v>
      </c>
      <c r="E20" s="34">
        <f>INPUTS!$E$34*E19*24*30.417</f>
        <v>688051.02492301993</v>
      </c>
      <c r="F20" s="34">
        <f>INPUTS!$E$34*F19*24*30.417</f>
        <v>812714.37531047547</v>
      </c>
      <c r="G20" s="34">
        <f>INPUTS!$E$34*G19*24*30.417</f>
        <v>680714.05005787022</v>
      </c>
      <c r="H20" s="34">
        <f>INPUTS!$E$34*H19*24*30.417</f>
        <v>596699.62316514144</v>
      </c>
      <c r="I20" s="34">
        <f>INPUTS!$E$34*I19*24*30.417</f>
        <v>470638.31733738579</v>
      </c>
      <c r="J20" s="34">
        <f>INPUTS!$E$34*J19*24*30.417</f>
        <v>398461.81846396695</v>
      </c>
      <c r="K20" s="34">
        <f>INPUTS!$E$34*K19*24*30.417</f>
        <v>470638.31733738579</v>
      </c>
      <c r="L20" s="34">
        <f>INPUTS!$E$34*L19*24*30.417</f>
        <v>486046.8264350323</v>
      </c>
      <c r="M20" s="34">
        <f>INPUTS!$E$34*M19*24*30.417</f>
        <v>513814.401283329</v>
      </c>
      <c r="N20" s="34">
        <f>INPUTS!$E$34*N19*24*30.417</f>
        <v>482163.6478533484</v>
      </c>
      <c r="O20" s="23">
        <f>SUM(C20:N20)</f>
        <v>6649270.8192681605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E1" workbookViewId="0">
      <selection activeCell="C18" sqref="C18:N18"/>
    </sheetView>
  </sheetViews>
  <sheetFormatPr baseColWidth="10" defaultRowHeight="15" x14ac:dyDescent="0"/>
  <cols>
    <col min="2" max="2" width="43.33203125" customWidth="1"/>
    <col min="3" max="3" width="12.5" customWidth="1"/>
    <col min="4" max="4" width="13.83203125" customWidth="1"/>
    <col min="15" max="15" width="15.83203125" customWidth="1"/>
  </cols>
  <sheetData>
    <row r="2" spans="2:15" ht="30">
      <c r="B2" s="77" t="s">
        <v>92</v>
      </c>
      <c r="C2">
        <v>66</v>
      </c>
      <c r="D2" t="s">
        <v>98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33">
        <v>4.55</v>
      </c>
      <c r="D5" s="33">
        <v>5.16</v>
      </c>
      <c r="E5" s="33">
        <v>6.14</v>
      </c>
      <c r="F5" s="33">
        <v>6.47</v>
      </c>
      <c r="G5" s="33">
        <v>6.64</v>
      </c>
      <c r="H5" s="33">
        <v>6.57</v>
      </c>
      <c r="I5" s="33">
        <v>6.19</v>
      </c>
      <c r="J5" s="33">
        <v>6.06</v>
      </c>
      <c r="K5" s="33">
        <v>6</v>
      </c>
      <c r="L5" s="33">
        <v>5.64</v>
      </c>
      <c r="M5" s="33">
        <v>4.93</v>
      </c>
      <c r="N5" s="33">
        <v>4.4400000000000004</v>
      </c>
      <c r="O5" s="33">
        <v>5.73</v>
      </c>
    </row>
    <row r="6" spans="2:15" ht="31">
      <c r="B6" s="1" t="s">
        <v>14</v>
      </c>
      <c r="C6" s="33">
        <v>11.4</v>
      </c>
      <c r="D6" s="33">
        <v>12.8</v>
      </c>
      <c r="E6" s="33">
        <v>15.7</v>
      </c>
      <c r="F6" s="33">
        <v>18.899999999999999</v>
      </c>
      <c r="G6" s="33">
        <v>22.4</v>
      </c>
      <c r="H6" s="33">
        <v>25.6</v>
      </c>
      <c r="I6" s="33">
        <v>29</v>
      </c>
      <c r="J6" s="33">
        <v>29.2</v>
      </c>
      <c r="K6" s="33">
        <v>26.5</v>
      </c>
      <c r="L6" s="33">
        <v>21.5</v>
      </c>
      <c r="M6" s="33">
        <v>15.2</v>
      </c>
      <c r="N6" s="33">
        <v>11.1</v>
      </c>
      <c r="O6" s="33">
        <v>20</v>
      </c>
    </row>
    <row r="7" spans="2:15">
      <c r="B7" s="1" t="s">
        <v>15</v>
      </c>
      <c r="C7" s="33">
        <v>5.69</v>
      </c>
      <c r="D7" s="33">
        <v>5.63</v>
      </c>
      <c r="E7" s="33">
        <v>5.55</v>
      </c>
      <c r="F7" s="33">
        <v>5.78</v>
      </c>
      <c r="G7" s="33">
        <v>6.33</v>
      </c>
      <c r="H7" s="33">
        <v>6.21</v>
      </c>
      <c r="I7" s="33">
        <v>5.46</v>
      </c>
      <c r="J7" s="33">
        <v>4.99</v>
      </c>
      <c r="K7" s="33">
        <v>5.21</v>
      </c>
      <c r="L7" s="33">
        <v>4.99</v>
      </c>
      <c r="M7" s="33">
        <v>5.61</v>
      </c>
      <c r="N7" s="33">
        <v>5.58</v>
      </c>
      <c r="O7" s="33">
        <v>5.58</v>
      </c>
    </row>
    <row r="8" spans="2:15">
      <c r="B8" s="1" t="s">
        <v>16</v>
      </c>
      <c r="C8" s="33">
        <v>10.199999999999999</v>
      </c>
      <c r="D8" s="33">
        <v>11</v>
      </c>
      <c r="E8" s="33">
        <v>11.9</v>
      </c>
      <c r="F8" s="33">
        <v>12.9</v>
      </c>
      <c r="G8" s="33">
        <v>13.8</v>
      </c>
      <c r="H8" s="33">
        <v>14.2</v>
      </c>
      <c r="I8" s="33">
        <v>14</v>
      </c>
      <c r="J8" s="33">
        <v>13.3</v>
      </c>
      <c r="K8" s="33">
        <v>12.4</v>
      </c>
      <c r="L8" s="33">
        <v>11.4</v>
      </c>
      <c r="M8" s="33">
        <v>10.5</v>
      </c>
      <c r="N8" s="33">
        <v>10</v>
      </c>
      <c r="O8" s="26">
        <f>AVERAGE(C8:N8)</f>
        <v>12.133333333333335</v>
      </c>
    </row>
    <row r="11" spans="2:15" ht="16">
      <c r="B11" t="s">
        <v>17</v>
      </c>
      <c r="C11" t="s">
        <v>61</v>
      </c>
    </row>
    <row r="12" spans="2:15">
      <c r="B12" t="s">
        <v>19</v>
      </c>
      <c r="C12">
        <v>32.75</v>
      </c>
    </row>
    <row r="13" spans="2:15">
      <c r="B13" t="s">
        <v>20</v>
      </c>
      <c r="C13">
        <v>-115.59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37646100.000000007</v>
      </c>
      <c r="D15" s="110">
        <f>O5*365*3600*INPUTS!$E$40*INPUTS!$E$39/1000</f>
        <v>35763795.000000007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1185155.5778640001</v>
      </c>
      <c r="D18" s="34">
        <f>INPUTS!$E$45*INPUTS!$E$38*INPUTS!$E$40*((INPUTS!$E$42*D5*30.417*(3600/1000))-(INPUTS!$E$43*(INPUTS!$E$44-D6)*(D8-2)*3600*30.417)/(10^6))</f>
        <v>1387648.4819399999</v>
      </c>
      <c r="E18" s="34">
        <f>INPUTS!$E$45*INPUTS!$E$38*INPUTS!$E$40*((INPUTS!$E$42*E5*30.417*(3600/1000))-(INPUTS!$E$43*(INPUTS!$E$44-E6)*(E8-2)*3600*30.417)/(10^6))</f>
        <v>1754694.5880689998</v>
      </c>
      <c r="F18" s="34">
        <f>INPUTS!$E$45*INPUTS!$E$38*INPUTS!$E$40*((INPUTS!$E$42*F5*30.417*(3600/1000))-(INPUTS!$E$43*(INPUTS!$E$44-F6)*(F8-2)*3600*30.417)/(10^6))</f>
        <v>1906320.3522030001</v>
      </c>
      <c r="G18" s="34">
        <f>INPUTS!$E$45*INPUTS!$E$38*INPUTS!$E$40*((INPUTS!$E$42*G5*30.417*(3600/1000))-(INPUTS!$E$43*(INPUTS!$E$44-G6)*(G8-2)*3600*30.417)/(10^6))</f>
        <v>2026082.0883959997</v>
      </c>
      <c r="H18" s="34">
        <f>INPUTS!$E$45*INPUTS!$E$38*INPUTS!$E$40*((INPUTS!$E$42*H5*30.417*(3600/1000))-(INPUTS!$E$43*(INPUTS!$E$44-H6)*(H8-2)*3600*30.417)/(10^6))</f>
        <v>2076638.7924360004</v>
      </c>
      <c r="I18" s="34">
        <f>INPUTS!$E$45*INPUTS!$E$38*INPUTS!$E$40*((INPUTS!$E$42*I5*30.417*(3600/1000))-(INPUTS!$E$43*(INPUTS!$E$44-I6)*(I8-2)*3600*30.417)/(10^6))</f>
        <v>2036459.5171200004</v>
      </c>
      <c r="J18" s="34">
        <f>INPUTS!$E$45*INPUTS!$E$38*INPUTS!$E$40*((INPUTS!$E$42*J5*30.417*(3600/1000))-(INPUTS!$E$43*(INPUTS!$E$44-J6)*(J8-2)*3600*30.417)/(10^6))</f>
        <v>2004662.0111580002</v>
      </c>
      <c r="K18" s="34">
        <f>INPUTS!$E$45*INPUTS!$E$38*INPUTS!$E$40*((INPUTS!$E$42*K5*30.417*(3600/1000))-(INPUTS!$E$43*(INPUTS!$E$44-K6)*(K8-2)*3600*30.417)/(10^6))</f>
        <v>1932685.2298800002</v>
      </c>
      <c r="L18" s="34">
        <f>INPUTS!$E$45*INPUTS!$E$38*INPUTS!$E$40*((INPUTS!$E$42*L5*30.417*(3600/1000))-(INPUTS!$E$43*(INPUTS!$E$44-L6)*(L8-2)*3600*30.417)/(10^6))</f>
        <v>1719593.1571500001</v>
      </c>
      <c r="M18" s="34">
        <f>INPUTS!$E$45*INPUTS!$E$38*INPUTS!$E$40*((INPUTS!$E$42*M5*30.417*(3600/1000))-(INPUTS!$E$43*(INPUTS!$E$44-M6)*(M8-2)*3600*30.417)/(10^6))</f>
        <v>1375896.26565</v>
      </c>
      <c r="N18" s="34">
        <f>INPUTS!$E$45*INPUTS!$E$38*INPUTS!$E$40*((INPUTS!$E$42*N5*30.417*(3600/1000))-(INPUTS!$E$43*(INPUTS!$E$44-N6)*(N8-2)*3600*30.417)/(10^6))</f>
        <v>1151273.7165600003</v>
      </c>
      <c r="O18" s="23">
        <f>SUM(C18:N18)</f>
        <v>20557109.778425999</v>
      </c>
    </row>
    <row r="19" spans="2:15">
      <c r="B19" s="1" t="s">
        <v>33</v>
      </c>
      <c r="C19" s="34">
        <f>INPUTS!$E$33*(PI()*INPUTS!$E$29^2/4)*0.5*1.23*C7^3/1000</f>
        <v>291.9052045975173</v>
      </c>
      <c r="D19" s="34">
        <f>INPUTS!$E$33*(PI()*INPUTS!$E$29^2/4)*0.5*1.23*D7^3/1000</f>
        <v>282.76797635042817</v>
      </c>
      <c r="E19" s="34">
        <f>INPUTS!$E$33*(PI()*INPUTS!$E$29^2/4)*0.5*1.23*E7^3/1000</f>
        <v>270.88439594318658</v>
      </c>
      <c r="F19" s="34">
        <f>INPUTS!$E$33*(PI()*INPUTS!$E$29^2/4)*0.5*1.23*F7^3/1000</f>
        <v>305.97683957041573</v>
      </c>
      <c r="G19" s="34">
        <f>INPUTS!$E$33*(PI()*INPUTS!$E$29^2/4)*0.5*1.23*G7^3/1000</f>
        <v>401.89830011521133</v>
      </c>
      <c r="H19" s="34">
        <f>INPUTS!$E$33*(PI()*INPUTS!$E$29^2/4)*0.5*1.23*H7^3/1000</f>
        <v>379.47209045486863</v>
      </c>
      <c r="I19" s="34">
        <f>INPUTS!$E$33*(PI()*INPUTS!$E$29^2/4)*0.5*1.23*I7^3/1000</f>
        <v>257.9187808947031</v>
      </c>
      <c r="J19" s="34">
        <f>INPUTS!$E$33*(PI()*INPUTS!$E$29^2/4)*0.5*1.23*J7^3/1000</f>
        <v>196.88230086419779</v>
      </c>
      <c r="K19" s="34">
        <f>INPUTS!$E$33*(PI()*INPUTS!$E$29^2/4)*0.5*1.23*K7^3/1000</f>
        <v>224.08779805260787</v>
      </c>
      <c r="L19" s="34">
        <f>INPUTS!$E$33*(PI()*INPUTS!$E$29^2/4)*0.5*1.23*L7^3/1000</f>
        <v>196.88230086419779</v>
      </c>
      <c r="M19" s="34">
        <f>INPUTS!$E$33*(PI()*INPUTS!$E$29^2/4)*0.5*1.23*M7^3/1000</f>
        <v>279.76515580200567</v>
      </c>
      <c r="N19" s="34">
        <f>INPUTS!$E$33*(PI()*INPUTS!$E$29^2/4)*0.5*1.23*N7^3/1000</f>
        <v>275.30090309223783</v>
      </c>
      <c r="O19" s="23">
        <f>SUM(C19:N19)</f>
        <v>3363.7420466015783</v>
      </c>
    </row>
    <row r="20" spans="2:15">
      <c r="B20" s="1" t="s">
        <v>31</v>
      </c>
      <c r="C20" s="34">
        <f>INPUTS!$E$34*C19*24*30.417</f>
        <v>213093.13459782442</v>
      </c>
      <c r="D20" s="34">
        <f>INPUTS!$E$34*D19*24*30.417</f>
        <v>206422.88487962337</v>
      </c>
      <c r="E20" s="34">
        <f>INPUTS!$E$34*E19*24*30.417</f>
        <v>197747.77611369378</v>
      </c>
      <c r="F20" s="34">
        <f>INPUTS!$E$34*F19*24*30.417</f>
        <v>223365.54070112007</v>
      </c>
      <c r="G20" s="34">
        <f>INPUTS!$E$34*G19*24*30.417</f>
        <v>293388.97427050519</v>
      </c>
      <c r="H20" s="34">
        <f>INPUTS!$E$34*H19*24*30.417</f>
        <v>277017.66180877778</v>
      </c>
      <c r="I20" s="34">
        <f>INPUTS!$E$34*I19*24*30.417</f>
        <v>188282.77340338044</v>
      </c>
      <c r="J20" s="34">
        <f>INPUTS!$E$34*J19*24*30.417</f>
        <v>143725.65468927132</v>
      </c>
      <c r="K20" s="34">
        <f>INPUTS!$E$34*K19*24*30.417</f>
        <v>163585.88528078815</v>
      </c>
      <c r="L20" s="34">
        <f>INPUTS!$E$34*L19*24*30.417</f>
        <v>143725.65468927132</v>
      </c>
      <c r="M20" s="34">
        <f>INPUTS!$E$34*M19*24*30.417</f>
        <v>204230.80185671058</v>
      </c>
      <c r="N20" s="34">
        <f>INPUTS!$E$34*N19*24*30.417</f>
        <v>200971.86166455835</v>
      </c>
      <c r="O20" s="23">
        <f>SUM(C20:N20)</f>
        <v>2455558.6039555245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E1" workbookViewId="0">
      <selection activeCell="H7" sqref="H7"/>
    </sheetView>
  </sheetViews>
  <sheetFormatPr baseColWidth="10" defaultRowHeight="15" x14ac:dyDescent="0"/>
  <cols>
    <col min="2" max="2" width="35.6640625" customWidth="1"/>
    <col min="3" max="3" width="13.5" customWidth="1"/>
    <col min="4" max="4" width="15.5" customWidth="1"/>
    <col min="15" max="15" width="16" customWidth="1"/>
  </cols>
  <sheetData>
    <row r="2" spans="2:15" ht="30">
      <c r="B2" s="77" t="s">
        <v>92</v>
      </c>
      <c r="C2">
        <v>60</v>
      </c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25">
        <v>3.87</v>
      </c>
      <c r="D5" s="25">
        <v>4.59</v>
      </c>
      <c r="E5" s="25">
        <v>5.73</v>
      </c>
      <c r="F5" s="25">
        <v>6.56</v>
      </c>
      <c r="G5" s="25">
        <v>6.73</v>
      </c>
      <c r="H5" s="25">
        <v>6.83</v>
      </c>
      <c r="I5" s="25">
        <v>6.64</v>
      </c>
      <c r="J5" s="25">
        <v>6.57</v>
      </c>
      <c r="K5" s="25">
        <v>6.33</v>
      </c>
      <c r="L5" s="25">
        <v>5.78</v>
      </c>
      <c r="M5" s="25">
        <v>4.46</v>
      </c>
      <c r="N5" s="25">
        <v>3.63</v>
      </c>
      <c r="O5" s="25">
        <v>5.65</v>
      </c>
    </row>
    <row r="6" spans="2:15" ht="31">
      <c r="B6" s="1" t="s">
        <v>14</v>
      </c>
      <c r="C6" s="25">
        <v>9.89</v>
      </c>
      <c r="D6" s="25">
        <v>10.199999999999999</v>
      </c>
      <c r="E6" s="25">
        <v>11.4</v>
      </c>
      <c r="F6" s="25">
        <v>13.8</v>
      </c>
      <c r="G6" s="25">
        <v>17</v>
      </c>
      <c r="H6" s="25">
        <v>20.2</v>
      </c>
      <c r="I6" s="25">
        <v>22</v>
      </c>
      <c r="J6" s="25">
        <v>21.6</v>
      </c>
      <c r="K6" s="25">
        <v>20.5</v>
      </c>
      <c r="L6" s="25">
        <v>17.899999999999999</v>
      </c>
      <c r="M6" s="25">
        <v>12.9</v>
      </c>
      <c r="N6" s="25">
        <v>10</v>
      </c>
      <c r="O6" s="25">
        <v>15.6</v>
      </c>
    </row>
    <row r="7" spans="2:15" ht="30">
      <c r="B7" s="1" t="s">
        <v>15</v>
      </c>
      <c r="C7" s="25">
        <v>4.8</v>
      </c>
      <c r="D7" s="25">
        <v>5.28</v>
      </c>
      <c r="E7" s="25">
        <v>5.52</v>
      </c>
      <c r="F7" s="25">
        <v>5.88</v>
      </c>
      <c r="G7" s="25">
        <v>6.33</v>
      </c>
      <c r="H7" s="25">
        <v>6.43</v>
      </c>
      <c r="I7" s="25">
        <v>6.08</v>
      </c>
      <c r="J7" s="25">
        <v>5.59</v>
      </c>
      <c r="K7" s="25">
        <v>5.28</v>
      </c>
      <c r="L7" s="25">
        <v>4.74</v>
      </c>
      <c r="M7" s="25">
        <v>4.83</v>
      </c>
      <c r="N7" s="25">
        <v>4.91</v>
      </c>
      <c r="O7" s="25">
        <v>5.47</v>
      </c>
    </row>
    <row r="8" spans="2:15">
      <c r="B8" s="1" t="s">
        <v>16</v>
      </c>
      <c r="C8" s="25">
        <v>9.86</v>
      </c>
      <c r="D8" s="25">
        <v>10.8</v>
      </c>
      <c r="E8" s="25">
        <v>11.9</v>
      </c>
      <c r="F8" s="25">
        <v>13.1</v>
      </c>
      <c r="G8" s="25">
        <v>14.2</v>
      </c>
      <c r="H8" s="25">
        <v>14.7</v>
      </c>
      <c r="I8" s="25">
        <v>14.5</v>
      </c>
      <c r="J8" s="25">
        <v>13.6</v>
      </c>
      <c r="K8" s="25">
        <v>12.4</v>
      </c>
      <c r="L8" s="25">
        <v>11.2</v>
      </c>
      <c r="M8" s="25">
        <v>10.1</v>
      </c>
      <c r="N8" s="25">
        <v>9.58</v>
      </c>
      <c r="O8" s="26">
        <f t="shared" ref="O8" si="0">AVERAGE(C8:N8)</f>
        <v>12.161666666666669</v>
      </c>
    </row>
    <row r="11" spans="2:15" ht="16">
      <c r="B11" t="s">
        <v>17</v>
      </c>
      <c r="C11" t="s">
        <v>59</v>
      </c>
    </row>
    <row r="12" spans="2:15">
      <c r="B12" t="s">
        <v>19</v>
      </c>
      <c r="C12">
        <v>37.94</v>
      </c>
    </row>
    <row r="13" spans="2:15">
      <c r="B13" t="s">
        <v>20</v>
      </c>
      <c r="C13">
        <v>-121.34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37120500</v>
      </c>
      <c r="D15" s="110">
        <f>O5*365*3600*INPUTS!$E$40*INPUTS!$E$39/1000</f>
        <v>35264475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935377.52067521994</v>
      </c>
      <c r="D18" s="34">
        <f>INPUTS!$E$45*INPUTS!$E$38*INPUTS!$E$40*((INPUTS!$E$42*D5*30.417*(3600/1000))-(INPUTS!$E$43*(INPUTS!$E$44-D6)*(D8-2)*3600*30.417)/(10^6))</f>
        <v>1144532.8226879998</v>
      </c>
      <c r="E18" s="34">
        <f>INPUTS!$E$45*INPUTS!$E$38*INPUTS!$E$40*((INPUTS!$E$42*E5*30.417*(3600/1000))-(INPUTS!$E$43*(INPUTS!$E$44-E6)*(E8-2)*3600*30.417)/(10^6))</f>
        <v>1514838.5057880001</v>
      </c>
      <c r="F18" s="34">
        <f>INPUTS!$E$45*INPUTS!$E$38*INPUTS!$E$40*((INPUTS!$E$42*F5*30.417*(3600/1000))-(INPUTS!$E$43*(INPUTS!$E$44-F6)*(F8-2)*3600*30.417)/(10^6))</f>
        <v>1805583.902004</v>
      </c>
      <c r="G18" s="34">
        <f>INPUTS!$E$45*INPUTS!$E$38*INPUTS!$E$40*((INPUTS!$E$42*G5*30.417*(3600/1000))-(INPUTS!$E$43*(INPUTS!$E$44-G6)*(G8-2)*3600*30.417)/(10^6))</f>
        <v>1900754.6799600001</v>
      </c>
      <c r="H18" s="34">
        <f>INPUTS!$E$45*INPUTS!$E$38*INPUTS!$E$40*((INPUTS!$E$42*H5*30.417*(3600/1000))-(INPUTS!$E$43*(INPUTS!$E$44-H6)*(H8-2)*3600*30.417)/(10^6))</f>
        <v>2006391.5826120004</v>
      </c>
      <c r="I18" s="34">
        <f>INPUTS!$E$45*INPUTS!$E$38*INPUTS!$E$40*((INPUTS!$E$42*I5*30.417*(3600/1000))-(INPUTS!$E$43*(INPUTS!$E$44-I6)*(I8-2)*3600*30.417)/(10^6))</f>
        <v>1995437.63007</v>
      </c>
      <c r="J18" s="34">
        <f>INPUTS!$E$45*INPUTS!$E$38*INPUTS!$E$40*((INPUTS!$E$42*J5*30.417*(3600/1000))-(INPUTS!$E$43*(INPUTS!$E$44-J6)*(J8-2)*3600*30.417)/(10^6))</f>
        <v>1986257.5969680008</v>
      </c>
      <c r="K18" s="34">
        <f>INPUTS!$E$45*INPUTS!$E$38*INPUTS!$E$40*((INPUTS!$E$42*K5*30.417*(3600/1000))-(INPUTS!$E$43*(INPUTS!$E$44-K6)*(K8-2)*3600*30.417)/(10^6))</f>
        <v>1911398.1966000001</v>
      </c>
      <c r="L18" s="34">
        <f>INPUTS!$E$45*INPUTS!$E$38*INPUTS!$E$40*((INPUTS!$E$42*L5*30.417*(3600/1000))-(INPUTS!$E$43*(INPUTS!$E$44-L6)*(L8-2)*3600*30.417)/(10^6))</f>
        <v>1701809.6147640001</v>
      </c>
      <c r="M18" s="34">
        <f>INPUTS!$E$45*INPUTS!$E$38*INPUTS!$E$40*((INPUTS!$E$42*M5*30.417*(3600/1000))-(INPUTS!$E$43*(INPUTS!$E$44-M6)*(M8-2)*3600*30.417)/(10^6))</f>
        <v>1185399.4917870001</v>
      </c>
      <c r="N18" s="34">
        <f>INPUTS!$E$45*INPUTS!$E$38*INPUTS!$E$40*((INPUTS!$E$42*N5*30.417*(3600/1000))-(INPUTS!$E$43*(INPUTS!$E$44-N6)*(N8-2)*3600*30.417)/(10^6))</f>
        <v>867668.34609000012</v>
      </c>
      <c r="O18" s="23">
        <f>SUM(C18:N18)</f>
        <v>18955449.890006226</v>
      </c>
    </row>
    <row r="19" spans="2:15">
      <c r="B19" s="1" t="s">
        <v>33</v>
      </c>
      <c r="C19" s="34">
        <f>INPUTS!$E$33*(PI()*INPUTS!$E$29^2/4)*0.5*1.23*C7^3/1000</f>
        <v>175.23818700306674</v>
      </c>
      <c r="D19" s="34">
        <f>INPUTS!$E$33*(PI()*INPUTS!$E$29^2/4)*0.5*1.23*D7^3/1000</f>
        <v>233.24202690108186</v>
      </c>
      <c r="E19" s="34">
        <f>INPUTS!$E$33*(PI()*INPUTS!$E$29^2/4)*0.5*1.23*E7^3/1000</f>
        <v>266.51537765828908</v>
      </c>
      <c r="F19" s="34">
        <f>INPUTS!$E$33*(PI()*INPUTS!$E$29^2/4)*0.5*1.23*F7^3/1000</f>
        <v>322.13433535505931</v>
      </c>
      <c r="G19" s="34">
        <f>INPUTS!$E$33*(PI()*INPUTS!$E$29^2/4)*0.5*1.23*G7^3/1000</f>
        <v>401.89830011521133</v>
      </c>
      <c r="H19" s="34">
        <f>INPUTS!$E$33*(PI()*INPUTS!$E$29^2/4)*0.5*1.23*H7^3/1000</f>
        <v>421.24810287907343</v>
      </c>
      <c r="I19" s="34">
        <f>INPUTS!$E$33*(PI()*INPUTS!$E$29^2/4)*0.5*1.23*I7^3/1000</f>
        <v>356.13591841601033</v>
      </c>
      <c r="J19" s="34">
        <f>INPUTS!$E$33*(PI()*INPUTS!$E$29^2/4)*0.5*1.23*J7^3/1000</f>
        <v>276.7836695901517</v>
      </c>
      <c r="K19" s="34">
        <f>INPUTS!$E$33*(PI()*INPUTS!$E$29^2/4)*0.5*1.23*K7^3/1000</f>
        <v>233.24202690108186</v>
      </c>
      <c r="L19" s="34">
        <f>INPUTS!$E$33*(PI()*INPUTS!$E$29^2/4)*0.5*1.23*L7^3/1000</f>
        <v>168.74855562852545</v>
      </c>
      <c r="M19" s="34">
        <f>INPUTS!$E$33*(PI()*INPUTS!$E$29^2/4)*0.5*1.23*M7^3/1000</f>
        <v>178.54448151717418</v>
      </c>
      <c r="N19" s="34">
        <f>INPUTS!$E$33*(PI()*INPUTS!$E$29^2/4)*0.5*1.23*N7^3/1000</f>
        <v>187.56401280558441</v>
      </c>
      <c r="O19" s="23">
        <f>SUM(C19:N19)</f>
        <v>3221.2949947703096</v>
      </c>
    </row>
    <row r="20" spans="2:15">
      <c r="B20" s="1" t="s">
        <v>31</v>
      </c>
      <c r="C20" s="34">
        <f>INPUTS!$E$34*C19*24*30.417</f>
        <v>127925.27841773475</v>
      </c>
      <c r="D20" s="34">
        <f>INPUTS!$E$34*D19*24*30.417</f>
        <v>170268.54557400497</v>
      </c>
      <c r="E20" s="34">
        <f>INPUTS!$E$34*E19*24*30.417</f>
        <v>194558.35781357231</v>
      </c>
      <c r="F20" s="34">
        <f>INPUTS!$E$34*F19*24*30.417</f>
        <v>235160.64188387615</v>
      </c>
      <c r="G20" s="34">
        <f>INPUTS!$E$34*G19*24*30.417</f>
        <v>293388.97427050519</v>
      </c>
      <c r="H20" s="34">
        <f>INPUTS!$E$34*H19*24*30.417</f>
        <v>307514.48508654663</v>
      </c>
      <c r="I20" s="34">
        <f>INPUTS!$E$34*I19*24*30.417</f>
        <v>259982.06953103488</v>
      </c>
      <c r="J20" s="34">
        <f>INPUTS!$E$34*J19*24*30.417</f>
        <v>202054.29307016748</v>
      </c>
      <c r="K20" s="34">
        <f>INPUTS!$E$34*K19*24*30.417</f>
        <v>170268.54557400497</v>
      </c>
      <c r="L20" s="34">
        <f>INPUTS!$E$34*L19*24*30.417</f>
        <v>123187.79559726862</v>
      </c>
      <c r="M20" s="34">
        <f>INPUTS!$E$34*M19*24*30.417</f>
        <v>130338.89986338929</v>
      </c>
      <c r="N20" s="34">
        <f>INPUTS!$E$34*N19*24*30.417</f>
        <v>136923.22986017907</v>
      </c>
      <c r="O20" s="23">
        <f>SUM(C20:N20)</f>
        <v>2351571.1165422844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A11" workbookViewId="0">
      <selection activeCell="D13" sqref="D13"/>
    </sheetView>
  </sheetViews>
  <sheetFormatPr baseColWidth="10" defaultRowHeight="15" x14ac:dyDescent="0"/>
  <cols>
    <col min="1" max="1" width="7.33203125" customWidth="1"/>
    <col min="2" max="2" width="32.83203125" customWidth="1"/>
    <col min="3" max="3" width="14.1640625" bestFit="1" customWidth="1"/>
    <col min="4" max="4" width="12.83203125" customWidth="1"/>
    <col min="15" max="15" width="14.1640625" customWidth="1"/>
  </cols>
  <sheetData>
    <row r="2" spans="2:15" ht="30">
      <c r="B2" s="77" t="s">
        <v>92</v>
      </c>
      <c r="C2">
        <f>INPUTS!E5</f>
        <v>100</v>
      </c>
    </row>
    <row r="4" spans="2:15">
      <c r="B4" s="31"/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32" t="s">
        <v>13</v>
      </c>
      <c r="C5" s="33">
        <f>INPUTS!D13</f>
        <v>4.54</v>
      </c>
      <c r="D5" s="33">
        <f>INPUTS!E13</f>
        <v>5</v>
      </c>
      <c r="E5" s="33">
        <f>INPUTS!F13</f>
        <v>6.07</v>
      </c>
      <c r="F5" s="33">
        <f>INPUTS!G13</f>
        <v>6.6</v>
      </c>
      <c r="G5" s="33">
        <f>INPUTS!H13</f>
        <v>6.39</v>
      </c>
      <c r="H5" s="33">
        <f>INPUTS!I13</f>
        <v>6.33</v>
      </c>
      <c r="I5" s="33">
        <f>INPUTS!J13</f>
        <v>6.39</v>
      </c>
      <c r="J5" s="33">
        <f>INPUTS!K13</f>
        <v>6.09</v>
      </c>
      <c r="K5" s="33">
        <f>INPUTS!L13</f>
        <v>6.03</v>
      </c>
      <c r="L5" s="33">
        <f>INPUTS!M13</f>
        <v>5.74</v>
      </c>
      <c r="M5" s="33">
        <f>INPUTS!N13</f>
        <v>4.93</v>
      </c>
      <c r="N5" s="33">
        <f>INPUTS!O13</f>
        <v>4.42</v>
      </c>
      <c r="O5" s="56">
        <f>AVERAGE(C5:N5)</f>
        <v>5.7108333333333334</v>
      </c>
    </row>
    <row r="6" spans="2:15" ht="46">
      <c r="B6" s="32" t="s">
        <v>14</v>
      </c>
      <c r="C6" s="33">
        <f>INPUTS!D14</f>
        <v>2.4</v>
      </c>
      <c r="D6" s="33">
        <f>INPUTS!E14</f>
        <v>4.96</v>
      </c>
      <c r="E6" s="33">
        <f>INPUTS!F14</f>
        <v>9.25</v>
      </c>
      <c r="F6" s="33">
        <f>INPUTS!G14</f>
        <v>14.4</v>
      </c>
      <c r="G6" s="33">
        <f>INPUTS!H14</f>
        <v>18.600000000000001</v>
      </c>
      <c r="H6" s="33">
        <f>INPUTS!I14</f>
        <v>21.4</v>
      </c>
      <c r="I6" s="33">
        <f>INPUTS!J14</f>
        <v>23.6</v>
      </c>
      <c r="J6" s="33">
        <f>INPUTS!K14</f>
        <v>23</v>
      </c>
      <c r="K6" s="33">
        <f>INPUTS!L14</f>
        <v>19.2</v>
      </c>
      <c r="L6" s="33">
        <f>INPUTS!M14</f>
        <v>14.1</v>
      </c>
      <c r="M6" s="33">
        <f>INPUTS!N14</f>
        <v>7.08</v>
      </c>
      <c r="N6" s="33">
        <f>INPUTS!O14</f>
        <v>1.89</v>
      </c>
      <c r="O6" s="56">
        <f t="shared" ref="O6:O8" si="0">AVERAGE(C6:N6)</f>
        <v>13.323333333333331</v>
      </c>
    </row>
    <row r="7" spans="2:15" ht="30">
      <c r="B7" s="32" t="s">
        <v>15</v>
      </c>
      <c r="C7" s="33">
        <f>INPUTS!D15</f>
        <v>7.3</v>
      </c>
      <c r="D7" s="33">
        <f>INPUTS!E15</f>
        <v>7.57</v>
      </c>
      <c r="E7" s="33">
        <f>INPUTS!F15</f>
        <v>8.08</v>
      </c>
      <c r="F7" s="33">
        <f>INPUTS!G15</f>
        <v>8.58</v>
      </c>
      <c r="G7" s="33">
        <f>INPUTS!H15</f>
        <v>8.14</v>
      </c>
      <c r="H7" s="33">
        <f>INPUTS!I15</f>
        <v>7.81</v>
      </c>
      <c r="I7" s="33">
        <f>INPUTS!J15</f>
        <v>7.19</v>
      </c>
      <c r="J7" s="33">
        <f>INPUTS!K15</f>
        <v>6.77</v>
      </c>
      <c r="K7" s="33">
        <f>INPUTS!L15</f>
        <v>7.21</v>
      </c>
      <c r="L7" s="33">
        <f>INPUTS!M15</f>
        <v>7.24</v>
      </c>
      <c r="M7" s="33">
        <f>INPUTS!N15</f>
        <v>7.4</v>
      </c>
      <c r="N7" s="33">
        <f>INPUTS!O15</f>
        <v>7.2</v>
      </c>
      <c r="O7" s="56">
        <f t="shared" si="0"/>
        <v>7.5408333333333326</v>
      </c>
    </row>
    <row r="8" spans="2:15">
      <c r="B8" s="32" t="s">
        <v>16</v>
      </c>
      <c r="C8" s="33">
        <f>INPUTS!D16</f>
        <v>10.1</v>
      </c>
      <c r="D8" s="33">
        <f>INPUTS!E16</f>
        <v>10.9</v>
      </c>
      <c r="E8" s="33">
        <f>INPUTS!F16</f>
        <v>11.9</v>
      </c>
      <c r="F8" s="33">
        <f>INPUTS!G16</f>
        <v>13</v>
      </c>
      <c r="G8" s="33">
        <f>INPUTS!H16</f>
        <v>13.9</v>
      </c>
      <c r="H8" s="33">
        <f>INPUTS!I16</f>
        <v>14.4</v>
      </c>
      <c r="I8" s="33">
        <f>INPUTS!J16</f>
        <v>14.2</v>
      </c>
      <c r="J8" s="33">
        <f>INPUTS!K16</f>
        <v>13.4</v>
      </c>
      <c r="K8" s="33">
        <f>INPUTS!L16</f>
        <v>12.4</v>
      </c>
      <c r="L8" s="33">
        <f>INPUTS!M16</f>
        <v>11.3</v>
      </c>
      <c r="M8" s="33">
        <f>INPUTS!N16</f>
        <v>10.3</v>
      </c>
      <c r="N8" s="33">
        <f>INPUTS!O16</f>
        <v>9.8800000000000008</v>
      </c>
      <c r="O8" s="56">
        <f t="shared" si="0"/>
        <v>12.14</v>
      </c>
    </row>
    <row r="9" spans="2:15"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</row>
    <row r="10" spans="2:15"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</row>
    <row r="11" spans="2:15">
      <c r="B11" s="31" t="s">
        <v>17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spans="2:15">
      <c r="B12" s="31" t="s">
        <v>19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2:15">
      <c r="B13" s="31" t="s">
        <v>20</v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</row>
    <row r="14" spans="2:15">
      <c r="B14" s="31"/>
      <c r="C14" s="31"/>
      <c r="D14" s="31" t="s">
        <v>130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2:15">
      <c r="B15" s="31" t="s">
        <v>118</v>
      </c>
      <c r="C15" s="110">
        <f>O5*365*3600*INPUTS!$E$40*INPUTS!$E$38/1000</f>
        <v>37520175.000000007</v>
      </c>
      <c r="D15" s="110">
        <f>O5*365*3600*INPUTS!$E$40*INPUTS!$E$39/1000</f>
        <v>35644166.250000007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  <row r="16" spans="2:15"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</row>
    <row r="17" spans="2:15">
      <c r="B17" s="32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32" t="s">
        <v>32</v>
      </c>
      <c r="C18" s="34">
        <f>INPUTS!$E$45*INPUTS!$E$38*INPUTS!$E$40*((INPUTS!$E$42*C5*30.417*(3600/1000))-(INPUTS!$E$43*(INPUTS!$E$44-C6)*(C8-2)*3600*30.417)/(10^6))</f>
        <v>1025192.3923619998</v>
      </c>
      <c r="D18" s="34">
        <f>INPUTS!$E$45*INPUTS!$E$38*INPUTS!$E$40*((INPUTS!$E$42*D5*30.417*(3600/1000))-(INPUTS!$E$43*(INPUTS!$E$44-D6)*(D8-2)*3600*30.417)/(10^6))</f>
        <v>1181084.4327491999</v>
      </c>
      <c r="E18" s="34">
        <f>INPUTS!$E$45*INPUTS!$E$38*INPUTS!$E$40*((INPUTS!$E$42*E5*30.417*(3600/1000))-(INPUTS!$E$43*(INPUTS!$E$44-E6)*(E8-2)*3600*30.417)/(10^6))</f>
        <v>1588267.6836075003</v>
      </c>
      <c r="F18" s="34">
        <f>INPUTS!$E$45*INPUTS!$E$38*INPUTS!$E$40*((INPUTS!$E$42*F5*30.417*(3600/1000))-(INPUTS!$E$43*(INPUTS!$E$44-F6)*(F8-2)*3600*30.417)/(10^6))</f>
        <v>1839110.9794200005</v>
      </c>
      <c r="G18" s="34">
        <f>INPUTS!$E$45*INPUTS!$E$38*INPUTS!$E$40*((INPUTS!$E$42*G5*30.417*(3600/1000))-(INPUTS!$E$43*(INPUTS!$E$44-G6)*(G8-2)*3600*30.417)/(10^6))</f>
        <v>1834321.3969319998</v>
      </c>
      <c r="H18" s="34">
        <f>INPUTS!$E$45*INPUTS!$E$38*INPUTS!$E$40*((INPUTS!$E$42*H5*30.417*(3600/1000))-(INPUTS!$E$43*(INPUTS!$E$44-H6)*(H8-2)*3600*30.417)/(10^6))</f>
        <v>1871839.793088</v>
      </c>
      <c r="I18" s="34">
        <f>INPUTS!$E$45*INPUTS!$E$38*INPUTS!$E$40*((INPUTS!$E$42*I5*30.417*(3600/1000))-(INPUTS!$E$43*(INPUTS!$E$44-I6)*(I8-2)*3600*30.417)/(10^6))</f>
        <v>1958673.1496759998</v>
      </c>
      <c r="J18" s="34">
        <f>INPUTS!$E$45*INPUTS!$E$38*INPUTS!$E$40*((INPUTS!$E$42*J5*30.417*(3600/1000))-(INPUTS!$E$43*(INPUTS!$E$44-J6)*(J8-2)*3600*30.417)/(10^6))</f>
        <v>1857293.6536799998</v>
      </c>
      <c r="K18" s="34">
        <f>INPUTS!$E$45*INPUTS!$E$38*INPUTS!$E$40*((INPUTS!$E$42*K5*30.417*(3600/1000))-(INPUTS!$E$43*(INPUTS!$E$44-K6)*(K8-2)*3600*30.417)/(10^6))</f>
        <v>1774983.7916639997</v>
      </c>
      <c r="L18" s="34">
        <f>INPUTS!$E$45*INPUTS!$E$38*INPUTS!$E$40*((INPUTS!$E$42*L5*30.417*(3600/1000))-(INPUTS!$E$43*(INPUTS!$E$44-L6)*(L8-2)*3600*30.417)/(10^6))</f>
        <v>1605463.615179</v>
      </c>
      <c r="M18" s="34">
        <f>INPUTS!$E$45*INPUTS!$E$38*INPUTS!$E$40*((INPUTS!$E$42*M5*30.417*(3600/1000))-(INPUTS!$E$43*(INPUTS!$E$44-M6)*(M8-2)*3600*30.417)/(10^6))</f>
        <v>1235233.3236551997</v>
      </c>
      <c r="N18" s="34">
        <f>INPUTS!$E$45*INPUTS!$E$38*INPUTS!$E$40*((INPUTS!$E$42*N5*30.417*(3600/1000))-(INPUTS!$E$43*(INPUTS!$E$44-N6)*(N8-2)*3600*30.417)/(10^6))</f>
        <v>989610.22927476</v>
      </c>
      <c r="O18" s="35">
        <f>SUM(C18:N18)</f>
        <v>18761074.441287663</v>
      </c>
    </row>
    <row r="19" spans="2:15">
      <c r="B19" s="32" t="s">
        <v>33</v>
      </c>
      <c r="C19" s="34">
        <f>INPUTS!$E$33*(PI()*INPUTS!$E$29^2/4)*0.5*1.23*C7^3/1000</f>
        <v>616.41559781333194</v>
      </c>
      <c r="D19" s="34">
        <f>INPUTS!$E$33*(PI()*INPUTS!$E$29^2/4)*0.5*1.23*D7^3/1000</f>
        <v>687.37333028345404</v>
      </c>
      <c r="E19" s="34">
        <f>INPUTS!$E$33*(PI()*INPUTS!$E$29^2/4)*0.5*1.23*E7^3/1000</f>
        <v>835.87073753447532</v>
      </c>
      <c r="F19" s="34">
        <f>INPUTS!$E$33*(PI()*INPUTS!$E$29^2/4)*0.5*1.23*F7^3/1000</f>
        <v>1000.8451818392124</v>
      </c>
      <c r="G19" s="34">
        <f>INPUTS!$E$33*(PI()*INPUTS!$E$29^2/4)*0.5*1.23*G7^3/1000</f>
        <v>854.6302364453486</v>
      </c>
      <c r="H19" s="34">
        <f>INPUTS!$E$33*(PI()*INPUTS!$E$29^2/4)*0.5*1.23*H7^3/1000</f>
        <v>754.84562256033962</v>
      </c>
      <c r="I19" s="34">
        <f>INPUTS!$E$33*(PI()*INPUTS!$E$29^2/4)*0.5*1.23*I7^3/1000</f>
        <v>588.96801516691301</v>
      </c>
      <c r="J19" s="34">
        <f>INPUTS!$E$33*(PI()*INPUTS!$E$29^2/4)*0.5*1.23*J7^3/1000</f>
        <v>491.66698331161956</v>
      </c>
      <c r="K19" s="34">
        <f>INPUTS!$E$33*(PI()*INPUTS!$E$29^2/4)*0.5*1.23*K7^3/1000</f>
        <v>593.89659234546741</v>
      </c>
      <c r="L19" s="34">
        <f>INPUTS!$E$33*(PI()*INPUTS!$E$29^2/4)*0.5*1.23*L7^3/1000</f>
        <v>601.34089249869896</v>
      </c>
      <c r="M19" s="34">
        <f>INPUTS!$E$33*(PI()*INPUTS!$E$29^2/4)*0.5*1.23*M7^3/1000</f>
        <v>642.09634593940541</v>
      </c>
      <c r="N19" s="34">
        <f>INPUTS!$E$33*(PI()*INPUTS!$E$29^2/4)*0.5*1.23*N7^3/1000</f>
        <v>591.42888113535037</v>
      </c>
      <c r="O19" s="35">
        <f>SUM(C19:N19)</f>
        <v>8259.3784168736147</v>
      </c>
    </row>
    <row r="20" spans="2:15">
      <c r="B20" s="32" t="s">
        <v>31</v>
      </c>
      <c r="C20" s="34">
        <f>INPUTS!$E$34*C19*24*30.417</f>
        <v>449988.31772851484</v>
      </c>
      <c r="D20" s="34">
        <f>INPUTS!$E$34*D19*24*30.417</f>
        <v>501788.03009356378</v>
      </c>
      <c r="E20" s="34">
        <f>INPUTS!$E$34*E19*24*30.417</f>
        <v>610192.32536606735</v>
      </c>
      <c r="F20" s="34">
        <f>INPUTS!$E$34*F19*24*30.417</f>
        <v>730624.9895040798</v>
      </c>
      <c r="G20" s="34">
        <f>INPUTS!$E$34*G19*24*30.417</f>
        <v>623886.90964699606</v>
      </c>
      <c r="H20" s="34">
        <f>INPUTS!$E$34*H19*24*30.417</f>
        <v>551043.34323402843</v>
      </c>
      <c r="I20" s="34">
        <f>INPUTS!$E$34*I19*24*30.417</f>
        <v>429951.36281596782</v>
      </c>
      <c r="J20" s="34">
        <f>INPUTS!$E$34*J19*24*30.417</f>
        <v>358920.83115334879</v>
      </c>
      <c r="K20" s="34">
        <f>INPUTS!$E$34*K19*24*30.417</f>
        <v>433549.26358492998</v>
      </c>
      <c r="L20" s="34">
        <f>INPUTS!$E$34*L19*24*30.417</f>
        <v>438983.66225119028</v>
      </c>
      <c r="M20" s="34">
        <f>INPUTS!$E$34*M19*24*30.417</f>
        <v>468735.46930653352</v>
      </c>
      <c r="N20" s="34">
        <f>INPUTS!$E$34*N19*24*30.417</f>
        <v>431747.81465985486</v>
      </c>
      <c r="O20" s="35">
        <f>SUM(C20:N20)</f>
        <v>6029412.3193450756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E1" workbookViewId="0">
      <selection activeCell="C20" sqref="C20:N20"/>
    </sheetView>
  </sheetViews>
  <sheetFormatPr baseColWidth="10" defaultRowHeight="15" x14ac:dyDescent="0"/>
  <cols>
    <col min="1" max="1" width="10.83203125" style="31"/>
    <col min="2" max="2" width="38.83203125" style="31" customWidth="1"/>
    <col min="3" max="3" width="13.1640625" style="31" customWidth="1"/>
    <col min="4" max="4" width="12.6640625" style="31" customWidth="1"/>
    <col min="5" max="14" width="10.83203125" style="31"/>
    <col min="15" max="15" width="16" style="31" customWidth="1"/>
    <col min="16" max="16384" width="10.83203125" style="31"/>
  </cols>
  <sheetData>
    <row r="2" spans="2:15" ht="30">
      <c r="B2" s="77" t="s">
        <v>92</v>
      </c>
      <c r="C2" s="31">
        <v>50</v>
      </c>
    </row>
    <row r="4" spans="2:15">
      <c r="B4" s="42"/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43" t="s">
        <v>13</v>
      </c>
      <c r="C5" s="33">
        <v>4.8899999999999997</v>
      </c>
      <c r="D5" s="33">
        <v>5.52</v>
      </c>
      <c r="E5" s="33">
        <v>6.42</v>
      </c>
      <c r="F5" s="33">
        <v>6.81</v>
      </c>
      <c r="G5" s="33">
        <v>6.72</v>
      </c>
      <c r="H5" s="33">
        <v>6.55</v>
      </c>
      <c r="I5" s="33">
        <v>6.06</v>
      </c>
      <c r="J5" s="33">
        <v>5.76</v>
      </c>
      <c r="K5" s="33">
        <v>6.01</v>
      </c>
      <c r="L5" s="33">
        <v>5.8</v>
      </c>
      <c r="M5" s="33">
        <v>5.2</v>
      </c>
      <c r="N5" s="33">
        <v>4.7</v>
      </c>
      <c r="O5" s="33">
        <v>5.87</v>
      </c>
    </row>
    <row r="6" spans="2:15" ht="31">
      <c r="B6" s="43" t="s">
        <v>57</v>
      </c>
      <c r="C6" s="33">
        <v>8.66</v>
      </c>
      <c r="D6" s="33">
        <v>10.199999999999999</v>
      </c>
      <c r="E6" s="33">
        <v>13.5</v>
      </c>
      <c r="F6" s="33">
        <v>17.600000000000001</v>
      </c>
      <c r="G6" s="33">
        <v>22.7</v>
      </c>
      <c r="H6" s="33">
        <v>26.9</v>
      </c>
      <c r="I6" s="33">
        <v>29.7</v>
      </c>
      <c r="J6" s="33">
        <v>28.5</v>
      </c>
      <c r="K6" s="33">
        <v>25.3</v>
      </c>
      <c r="L6" s="33">
        <v>19.8</v>
      </c>
      <c r="M6" s="33">
        <v>12.6</v>
      </c>
      <c r="N6" s="33">
        <v>8.33</v>
      </c>
      <c r="O6" s="33">
        <v>18.7</v>
      </c>
    </row>
    <row r="7" spans="2:15">
      <c r="B7" s="43" t="s">
        <v>15</v>
      </c>
      <c r="C7" s="33">
        <v>6.44</v>
      </c>
      <c r="D7" s="33">
        <v>6.2</v>
      </c>
      <c r="E7" s="33">
        <v>6.09</v>
      </c>
      <c r="F7" s="33">
        <v>6.49</v>
      </c>
      <c r="G7" s="33">
        <v>6.45</v>
      </c>
      <c r="H7" s="33">
        <v>6.38</v>
      </c>
      <c r="I7" s="33">
        <v>5.37</v>
      </c>
      <c r="J7" s="33">
        <v>4.8499999999999996</v>
      </c>
      <c r="K7" s="33">
        <v>5.63</v>
      </c>
      <c r="L7" s="33">
        <v>5.83</v>
      </c>
      <c r="M7" s="33">
        <v>6.48</v>
      </c>
      <c r="N7" s="33">
        <v>6.26</v>
      </c>
      <c r="O7" s="33">
        <v>6.04</v>
      </c>
    </row>
    <row r="8" spans="2:15">
      <c r="B8" s="43" t="s">
        <v>16</v>
      </c>
      <c r="C8" s="33">
        <v>10.199999999999999</v>
      </c>
      <c r="D8" s="33">
        <v>11</v>
      </c>
      <c r="E8" s="33">
        <v>11.9</v>
      </c>
      <c r="F8" s="33">
        <v>12.9</v>
      </c>
      <c r="G8" s="33">
        <v>13.8</v>
      </c>
      <c r="H8" s="33">
        <v>14.3</v>
      </c>
      <c r="I8" s="33">
        <v>14.1</v>
      </c>
      <c r="J8" s="33">
        <v>13.3</v>
      </c>
      <c r="K8" s="33">
        <v>12.4</v>
      </c>
      <c r="L8" s="33">
        <v>11.3</v>
      </c>
      <c r="M8" s="33">
        <v>10.5</v>
      </c>
      <c r="N8" s="33">
        <v>10</v>
      </c>
      <c r="O8" s="45">
        <f>SUM(C8:N8)</f>
        <v>145.69999999999999</v>
      </c>
    </row>
    <row r="9" spans="2:15"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2:15"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</row>
    <row r="11" spans="2:15" ht="16">
      <c r="B11" s="42" t="s">
        <v>17</v>
      </c>
      <c r="C11" s="42" t="s">
        <v>62</v>
      </c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</row>
    <row r="12" spans="2:15">
      <c r="B12" s="42" t="s">
        <v>19</v>
      </c>
      <c r="C12" s="42">
        <v>33.03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</row>
    <row r="13" spans="2:15">
      <c r="B13" s="42" t="s">
        <v>20</v>
      </c>
      <c r="C13" s="42">
        <v>-112.01</v>
      </c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</row>
    <row r="14" spans="2:15">
      <c r="B14" s="43"/>
      <c r="C14" s="42"/>
      <c r="D14" s="31" t="s">
        <v>130</v>
      </c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</row>
    <row r="15" spans="2:15">
      <c r="B15" s="101" t="s">
        <v>118</v>
      </c>
      <c r="C15" s="34">
        <f>O5*365*3600*INPUTS!$E$40*INPUTS!$E$38/1000</f>
        <v>38565900.000000007</v>
      </c>
      <c r="D15" s="110">
        <f>O5*365*3600*INPUTS!$E$40*INPUTS!$E$39/1000</f>
        <v>36637605.000000007</v>
      </c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</row>
    <row r="16" spans="2:15">
      <c r="B16" s="43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</row>
    <row r="17" spans="2:15">
      <c r="B17" s="43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43" t="s">
        <v>32</v>
      </c>
      <c r="C18" s="34">
        <f>INPUTS!$E$45*INPUTS!$E$38*INPUTS!$E$40*((INPUTS!$E$42*C5*30.417*(3600/1000))-(INPUTS!$E$43*(INPUTS!$E$44-C6)*(C8-2)*3600*30.417)/(10^6))</f>
        <v>1255961.5723116002</v>
      </c>
      <c r="D18" s="34">
        <f>INPUTS!$E$45*INPUTS!$E$38*INPUTS!$E$40*((INPUTS!$E$42*D5*30.417*(3600/1000))-(INPUTS!$E$43*(INPUTS!$E$44-D6)*(D8-2)*3600*30.417)/(10^6))</f>
        <v>1463483.5380000002</v>
      </c>
      <c r="E18" s="34">
        <f>INPUTS!$E$45*INPUTS!$E$38*INPUTS!$E$40*((INPUTS!$E$42*E5*30.417*(3600/1000))-(INPUTS!$E$43*(INPUTS!$E$44-E6)*(E8-2)*3600*30.417)/(10^6))</f>
        <v>1805739.1199550002</v>
      </c>
      <c r="F18" s="34">
        <f>INPUTS!$E$45*INPUTS!$E$38*INPUTS!$E$40*((INPUTS!$E$42*F5*30.417*(3600/1000))-(INPUTS!$E$43*(INPUTS!$E$44-F6)*(F8-2)*3600*30.417)/(10^6))</f>
        <v>1995526.3260419995</v>
      </c>
      <c r="G18" s="34">
        <f>INPUTS!$E$45*INPUTS!$E$38*INPUTS!$E$40*((INPUTS!$E$42*G5*30.417*(3600/1000))-(INPUTS!$E$43*(INPUTS!$E$44-G6)*(G8-2)*3600*30.417)/(10^6))</f>
        <v>2062314.3929580003</v>
      </c>
      <c r="H18" s="34">
        <f>INPUTS!$E$45*INPUTS!$E$38*INPUTS!$E$40*((INPUTS!$E$42*H5*30.417*(3600/1000))-(INPUTS!$E$43*(INPUTS!$E$44-H6)*(H8-2)*3600*30.417)/(10^6))</f>
        <v>2102914.9741409994</v>
      </c>
      <c r="I18" s="34">
        <f>INPUTS!$E$45*INPUTS!$E$38*INPUTS!$E$40*((INPUTS!$E$42*I5*30.417*(3600/1000))-(INPUTS!$E$43*(INPUTS!$E$44-I6)*(I8-2)*3600*30.417)/(10^6))</f>
        <v>2007788.5441709999</v>
      </c>
      <c r="J18" s="34">
        <f>INPUTS!$E$45*INPUTS!$E$38*INPUTS!$E$40*((INPUTS!$E$42*J5*30.417*(3600/1000))-(INPUTS!$E$43*(INPUTS!$E$44-J6)*(J8-2)*3600*30.417)/(10^6))</f>
        <v>1880687.2162950002</v>
      </c>
      <c r="K18" s="34">
        <f>INPUTS!$E$45*INPUTS!$E$38*INPUTS!$E$40*((INPUTS!$E$42*K5*30.417*(3600/1000))-(INPUTS!$E$43*(INPUTS!$E$44-K6)*(K8-2)*3600*30.417)/(10^6))</f>
        <v>1908559.9254960001</v>
      </c>
      <c r="L18" s="34">
        <f>INPUTS!$E$45*INPUTS!$E$38*INPUTS!$E$40*((INPUTS!$E$42*L5*30.417*(3600/1000))-(INPUTS!$E$43*(INPUTS!$E$44-L6)*(L8-2)*3600*30.417)/(10^6))</f>
        <v>1744294.985352</v>
      </c>
      <c r="M18" s="34">
        <f>INPUTS!$E$45*INPUTS!$E$38*INPUTS!$E$40*((INPUTS!$E$42*M5*30.417*(3600/1000))-(INPUTS!$E$43*(INPUTS!$E$44-M6)*(M8-2)*3600*30.417)/(10^6))</f>
        <v>1422683.3908799998</v>
      </c>
      <c r="N18" s="34">
        <f>INPUTS!$E$45*INPUTS!$E$38*INPUTS!$E$40*((INPUTS!$E$42*N5*30.417*(3600/1000))-(INPUTS!$E$43*(INPUTS!$E$44-N6)*(N8-2)*3600*30.417)/(10^6))</f>
        <v>1194379.9589519999</v>
      </c>
      <c r="O18" s="44">
        <f>SUM(C18:N18)</f>
        <v>20844333.944553599</v>
      </c>
    </row>
    <row r="19" spans="2:15">
      <c r="B19" s="43" t="s">
        <v>33</v>
      </c>
      <c r="C19" s="34">
        <f>INPUTS!$E$33*(PI()*INPUTS!$E$29^2/4)*0.5*1.23*C7^3/1000</f>
        <v>423.21654878144994</v>
      </c>
      <c r="D19" s="34">
        <f>INPUTS!$E$33*(PI()*INPUTS!$E$29^2/4)*0.5*1.23*D7^3/1000</f>
        <v>377.6418423761836</v>
      </c>
      <c r="E19" s="34">
        <f>INPUTS!$E$33*(PI()*INPUTS!$E$29^2/4)*0.5*1.23*E7^3/1000</f>
        <v>357.89605981115812</v>
      </c>
      <c r="F19" s="34">
        <f>INPUTS!$E$33*(PI()*INPUTS!$E$29^2/4)*0.5*1.23*F7^3/1000</f>
        <v>433.15080876480482</v>
      </c>
      <c r="G19" s="34">
        <f>INPUTS!$E$33*(PI()*INPUTS!$E$29^2/4)*0.5*1.23*G7^3/1000</f>
        <v>425.1911173722176</v>
      </c>
      <c r="H19" s="34">
        <f>INPUTS!$E$33*(PI()*INPUTS!$E$29^2/4)*0.5*1.23*H7^3/1000</f>
        <v>411.4973809382584</v>
      </c>
      <c r="I19" s="34">
        <f>INPUTS!$E$33*(PI()*INPUTS!$E$29^2/4)*0.5*1.23*I7^3/1000</f>
        <v>245.37363481640182</v>
      </c>
      <c r="J19" s="34">
        <f>INPUTS!$E$33*(PI()*INPUTS!$E$29^2/4)*0.5*1.23*J7^3/1000</f>
        <v>180.77162209591324</v>
      </c>
      <c r="K19" s="34">
        <f>INPUTS!$E$33*(PI()*INPUTS!$E$29^2/4)*0.5*1.23*K7^3/1000</f>
        <v>282.76797635042817</v>
      </c>
      <c r="L19" s="34">
        <f>INPUTS!$E$33*(PI()*INPUTS!$E$29^2/4)*0.5*1.23*L7^3/1000</f>
        <v>313.98630315892979</v>
      </c>
      <c r="M19" s="34">
        <f>INPUTS!$E$33*(PI()*INPUTS!$E$29^2/4)*0.5*1.23*M7^3/1000</f>
        <v>431.15165434767044</v>
      </c>
      <c r="N19" s="34">
        <f>INPUTS!$E$33*(PI()*INPUTS!$E$29^2/4)*0.5*1.23*N7^3/1000</f>
        <v>388.7120813081292</v>
      </c>
      <c r="O19" s="44">
        <f>SUM(C19:N19)</f>
        <v>4271.357030121545</v>
      </c>
    </row>
    <row r="20" spans="2:15">
      <c r="B20" s="43" t="s">
        <v>31</v>
      </c>
      <c r="C20" s="34">
        <f>INPUTS!$E$34*C19*24*30.417</f>
        <v>308951.46634284873</v>
      </c>
      <c r="D20" s="34">
        <f>INPUTS!$E$34*D19*24*30.417</f>
        <v>275681.56606935308</v>
      </c>
      <c r="E20" s="34">
        <f>INPUTS!$E$34*E19*24*30.417</f>
        <v>261266.98683062397</v>
      </c>
      <c r="F20" s="34">
        <f>INPUTS!$E$34*F19*24*30.417</f>
        <v>316203.55560477765</v>
      </c>
      <c r="G20" s="34">
        <f>INPUTS!$E$34*G19*24*30.417</f>
        <v>310392.91721065785</v>
      </c>
      <c r="H20" s="34">
        <f>INPUTS!$E$34*H19*24*30.417</f>
        <v>300396.38006397616</v>
      </c>
      <c r="I20" s="34">
        <f>INPUTS!$E$34*I19*24*30.417</f>
        <v>179124.71640505188</v>
      </c>
      <c r="J20" s="34">
        <f>INPUTS!$E$34*J19*24*30.417</f>
        <v>131964.73030299344</v>
      </c>
      <c r="K20" s="34">
        <f>INPUTS!$E$34*K19*24*30.417</f>
        <v>206422.88487962337</v>
      </c>
      <c r="L20" s="34">
        <f>INPUTS!$E$34*L19*24*30.417</f>
        <v>229212.51319644402</v>
      </c>
      <c r="M20" s="34">
        <f>INPUTS!$E$34*M19*24*30.417</f>
        <v>314744.15688703419</v>
      </c>
      <c r="N20" s="34">
        <f>INPUTS!$E$34*N19*24*30.417</f>
        <v>283762.9290515848</v>
      </c>
      <c r="O20" s="44">
        <f>SUM(C20:N20)</f>
        <v>3118124.8028449686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D28" workbookViewId="0">
      <selection activeCell="C4" sqref="C4"/>
    </sheetView>
  </sheetViews>
  <sheetFormatPr baseColWidth="10" defaultRowHeight="15" x14ac:dyDescent="0"/>
  <sheetData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5" workbookViewId="0">
      <selection activeCell="M40" sqref="M40"/>
    </sheetView>
  </sheetViews>
  <sheetFormatPr baseColWidth="10" defaultRowHeight="15" x14ac:dyDescent="0"/>
  <sheetData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1"/>
  <sheetViews>
    <sheetView workbookViewId="0">
      <selection activeCell="D21" sqref="D21"/>
    </sheetView>
  </sheetViews>
  <sheetFormatPr baseColWidth="10" defaultRowHeight="15" x14ac:dyDescent="0"/>
  <cols>
    <col min="1" max="1" width="10.83203125" style="31"/>
    <col min="2" max="2" width="33.1640625" style="31" customWidth="1"/>
    <col min="3" max="3" width="12.83203125" style="31" customWidth="1"/>
    <col min="4" max="4" width="14.5" style="31" customWidth="1"/>
    <col min="5" max="14" width="10.83203125" style="31"/>
    <col min="15" max="15" width="11.83203125" style="31" bestFit="1" customWidth="1"/>
    <col min="16" max="16384" width="10.83203125" style="31"/>
  </cols>
  <sheetData>
    <row r="2" spans="2:15" ht="30">
      <c r="B2" s="15" t="s">
        <v>92</v>
      </c>
      <c r="C2" s="31">
        <v>110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20"/>
    </row>
    <row r="4" spans="2:15" ht="30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32" t="s">
        <v>13</v>
      </c>
      <c r="C5" s="33">
        <v>2.7</v>
      </c>
      <c r="D5" s="33">
        <v>3.3</v>
      </c>
      <c r="E5" s="33">
        <v>4.05</v>
      </c>
      <c r="F5" s="33">
        <v>4.76</v>
      </c>
      <c r="G5" s="33">
        <v>5.21</v>
      </c>
      <c r="H5" s="33">
        <v>5.67</v>
      </c>
      <c r="I5" s="33">
        <v>5.85</v>
      </c>
      <c r="J5" s="33">
        <v>5.38</v>
      </c>
      <c r="K5" s="33">
        <v>5.04</v>
      </c>
      <c r="L5" s="33">
        <v>4.03</v>
      </c>
      <c r="M5" s="33">
        <v>2.68</v>
      </c>
      <c r="N5" s="33">
        <v>2.31</v>
      </c>
      <c r="O5" s="29">
        <f>AVERAGE(C5:N5)</f>
        <v>4.248333333333334</v>
      </c>
    </row>
    <row r="6" spans="2:15" ht="46">
      <c r="B6" s="32" t="s">
        <v>14</v>
      </c>
      <c r="C6" s="33">
        <v>-3.17</v>
      </c>
      <c r="D6" s="33">
        <v>-0.68</v>
      </c>
      <c r="E6" s="33">
        <v>4.07</v>
      </c>
      <c r="F6" s="33">
        <v>11.2</v>
      </c>
      <c r="G6" s="33">
        <v>17.5</v>
      </c>
      <c r="H6" s="33">
        <v>22.2</v>
      </c>
      <c r="I6" s="33">
        <v>24</v>
      </c>
      <c r="J6" s="33">
        <v>22.9</v>
      </c>
      <c r="K6" s="33">
        <v>18.899999999999999</v>
      </c>
      <c r="L6" s="33">
        <v>13</v>
      </c>
      <c r="M6" s="33">
        <v>6.28</v>
      </c>
      <c r="N6" s="33">
        <v>-0.77</v>
      </c>
      <c r="O6" s="33">
        <v>11.3</v>
      </c>
    </row>
    <row r="7" spans="2:15" ht="30">
      <c r="B7" s="32" t="s">
        <v>15</v>
      </c>
      <c r="C7" s="33">
        <v>7.58</v>
      </c>
      <c r="D7" s="33">
        <v>7.27</v>
      </c>
      <c r="E7" s="33">
        <v>7.4</v>
      </c>
      <c r="F7" s="33">
        <v>7.68</v>
      </c>
      <c r="G7" s="33">
        <v>6.73</v>
      </c>
      <c r="H7" s="33">
        <v>6.1</v>
      </c>
      <c r="I7" s="33">
        <v>5.45</v>
      </c>
      <c r="J7" s="33">
        <v>5.24</v>
      </c>
      <c r="K7" s="33">
        <v>5.69</v>
      </c>
      <c r="L7" s="33">
        <v>6.38</v>
      </c>
      <c r="M7" s="33">
        <v>7.02</v>
      </c>
      <c r="N7" s="33">
        <v>7.2</v>
      </c>
      <c r="O7" s="33">
        <v>6.64</v>
      </c>
    </row>
    <row r="8" spans="2:15">
      <c r="B8" s="32" t="s">
        <v>16</v>
      </c>
      <c r="C8" s="33">
        <v>9.61</v>
      </c>
      <c r="D8" s="33">
        <v>10.7</v>
      </c>
      <c r="E8" s="33">
        <v>11.9</v>
      </c>
      <c r="F8" s="33">
        <v>13.2</v>
      </c>
      <c r="G8" s="33">
        <v>14.4</v>
      </c>
      <c r="H8" s="33">
        <v>15</v>
      </c>
      <c r="I8" s="33">
        <v>14.7</v>
      </c>
      <c r="J8" s="33">
        <v>13.7</v>
      </c>
      <c r="K8" s="33">
        <v>12.5</v>
      </c>
      <c r="L8" s="33">
        <v>11.1</v>
      </c>
      <c r="M8" s="33">
        <v>9.9600000000000009</v>
      </c>
      <c r="N8" s="33">
        <v>9.33</v>
      </c>
      <c r="O8" s="26">
        <f>AVERAGE(C8:N8)</f>
        <v>12.175000000000002</v>
      </c>
    </row>
    <row r="11" spans="2:15" ht="16">
      <c r="B11" s="31" t="s">
        <v>17</v>
      </c>
      <c r="C11" s="31" t="s">
        <v>51</v>
      </c>
    </row>
    <row r="12" spans="2:15">
      <c r="B12" s="31" t="s">
        <v>19</v>
      </c>
      <c r="C12" s="31">
        <v>40.72</v>
      </c>
    </row>
    <row r="13" spans="2:15">
      <c r="B13" s="31" t="s">
        <v>20</v>
      </c>
      <c r="C13" s="31">
        <v>-86.44</v>
      </c>
    </row>
    <row r="14" spans="2:15">
      <c r="D14" s="31" t="s">
        <v>130</v>
      </c>
    </row>
    <row r="15" spans="2:15">
      <c r="B15" s="31" t="s">
        <v>118</v>
      </c>
      <c r="C15" s="110">
        <f>$O$5*365*3600*INPUTS!$E$40*INPUTS!$E$38/1000</f>
        <v>27911550.000000004</v>
      </c>
      <c r="D15" s="110">
        <f>O5*365*3600*INPUTS!$E$40*INPUTS!$E$39/1000</f>
        <v>26515972.500000004</v>
      </c>
    </row>
    <row r="17" spans="2:15">
      <c r="B17" s="32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32" t="s">
        <v>32</v>
      </c>
      <c r="C18" s="34">
        <f>INPUTS!$E$45*INPUTS!$E$38*INPUTS!$E$40*((INPUTS!$E$42*C5*30.417*(3600/1000))-(INPUTS!$E$43*(INPUTS!$E$44-C6)*(C8-2)*3600*30.417)/(10^6))</f>
        <v>313820.31855158997</v>
      </c>
      <c r="D18" s="34">
        <f>INPUTS!$E$45*INPUTS!$E$38*INPUTS!$E$40*((INPUTS!$E$42*D5*30.417*(3600/1000))-(INPUTS!$E$43*(INPUTS!$E$44-D6)*(D8-2)*3600*30.417)/(10^6))</f>
        <v>482470.60929120018</v>
      </c>
      <c r="E18" s="34">
        <f>INPUTS!$E$45*INPUTS!$E$38*INPUTS!$E$40*((INPUTS!$E$42*E5*30.417*(3600/1000))-(INPUTS!$E$43*(INPUTS!$E$44-E6)*(E8-2)*3600*30.417)/(10^6))</f>
        <v>757891.55894489982</v>
      </c>
      <c r="F18" s="34">
        <f>INPUTS!$E$45*INPUTS!$E$38*INPUTS!$E$40*((INPUTS!$E$42*F5*30.417*(3600/1000))-(INPUTS!$E$43*(INPUTS!$E$44-F6)*(F8-2)*3600*30.417)/(10^6))</f>
        <v>1097701.3494719998</v>
      </c>
      <c r="G18" s="34">
        <f>INPUTS!$E$45*INPUTS!$E$38*INPUTS!$E$40*((INPUTS!$E$42*G5*30.417*(3600/1000))-(INPUTS!$E$43*(INPUTS!$E$44-G6)*(G8-2)*3600*30.417)/(10^6))</f>
        <v>1367248.4083800004</v>
      </c>
      <c r="H18" s="34">
        <f>INPUTS!$E$45*INPUTS!$E$38*INPUTS!$E$40*((INPUTS!$E$42*H5*30.417*(3600/1000))-(INPUTS!$E$43*(INPUTS!$E$44-H6)*(H8-2)*3600*30.417)/(10^6))</f>
        <v>1642649.4014399999</v>
      </c>
      <c r="I18" s="34">
        <f>INPUTS!$E$45*INPUTS!$E$38*INPUTS!$E$40*((INPUTS!$E$42*I5*30.417*(3600/1000))-(INPUTS!$E$43*(INPUTS!$E$44-I6)*(I8-2)*3600*30.417)/(10^6))</f>
        <v>1765715.0625899998</v>
      </c>
      <c r="J18" s="34">
        <f>INPUTS!$E$45*INPUTS!$E$38*INPUTS!$E$40*((INPUTS!$E$42*J5*30.417*(3600/1000))-(INPUTS!$E$43*(INPUTS!$E$44-J6)*(J8-2)*3600*30.417)/(10^6))</f>
        <v>1594820.0985389999</v>
      </c>
      <c r="K18" s="34">
        <f>INPUTS!$E$45*INPUTS!$E$38*INPUTS!$E$40*((INPUTS!$E$42*K5*30.417*(3600/1000))-(INPUTS!$E$43*(INPUTS!$E$44-K6)*(K8-2)*3600*30.417)/(10^6))</f>
        <v>1413259.443855</v>
      </c>
      <c r="L18" s="34">
        <f>INPUTS!$E$45*INPUTS!$E$38*INPUTS!$E$40*((INPUTS!$E$42*L5*30.417*(3600/1000))-(INPUTS!$E$43*(INPUTS!$E$44-L6)*(L8-2)*3600*30.417)/(10^6))</f>
        <v>985855.72878000012</v>
      </c>
      <c r="M18" s="34">
        <f>INPUTS!$E$45*INPUTS!$E$38*INPUTS!$E$40*((INPUTS!$E$42*M5*30.417*(3600/1000))-(INPUTS!$E$43*(INPUTS!$E$44-M6)*(M8-2)*3600*30.417)/(10^6))</f>
        <v>443898.5049878399</v>
      </c>
      <c r="N18" s="34">
        <f>INPUTS!$E$45*INPUTS!$E$38*INPUTS!$E$40*((INPUTS!$E$42*N5*30.417*(3600/1000))-(INPUTS!$E$43*(INPUTS!$E$44-N6)*(N8-2)*3600*30.417)/(10^6))</f>
        <v>238161.76747587012</v>
      </c>
      <c r="O18" s="35">
        <f>SUM(C18:N18)</f>
        <v>12103492.2523074</v>
      </c>
    </row>
    <row r="19" spans="2:15">
      <c r="B19" s="32" t="s">
        <v>33</v>
      </c>
      <c r="C19" s="34">
        <f>INPUTS!$E$33*(PI()*INPUTS!$E$29^2/4)*0.5*1.23*C7^3/1000</f>
        <v>690.10099905364189</v>
      </c>
      <c r="D19" s="34">
        <f>INPUTS!$E$33*(PI()*INPUTS!$E$29^2/4)*0.5*1.23*D7^3/1000</f>
        <v>608.84714208913283</v>
      </c>
      <c r="E19" s="34">
        <f>INPUTS!$E$33*(PI()*INPUTS!$E$29^2/4)*0.5*1.23*E7^3/1000</f>
        <v>642.09634593940541</v>
      </c>
      <c r="F19" s="34">
        <f>INPUTS!$E$33*(PI()*INPUTS!$E$29^2/4)*0.5*1.23*F7^3/1000</f>
        <v>717.77561396456133</v>
      </c>
      <c r="G19" s="34">
        <f>INPUTS!$E$33*(PI()*INPUTS!$E$29^2/4)*0.5*1.23*G7^3/1000</f>
        <v>483.00344895786668</v>
      </c>
      <c r="H19" s="34">
        <f>INPUTS!$E$33*(PI()*INPUTS!$E$29^2/4)*0.5*1.23*H7^3/1000</f>
        <v>359.6619911398933</v>
      </c>
      <c r="I19" s="34">
        <f>INPUTS!$E$33*(PI()*INPUTS!$E$29^2/4)*0.5*1.23*I7^3/1000</f>
        <v>256.50423863886459</v>
      </c>
      <c r="J19" s="34">
        <f>INPUTS!$E$33*(PI()*INPUTS!$E$29^2/4)*0.5*1.23*J7^3/1000</f>
        <v>227.98112908443946</v>
      </c>
      <c r="K19" s="34">
        <f>INPUTS!$E$33*(PI()*INPUTS!$E$29^2/4)*0.5*1.23*K7^3/1000</f>
        <v>291.9052045975173</v>
      </c>
      <c r="L19" s="34">
        <f>INPUTS!$E$33*(PI()*INPUTS!$E$29^2/4)*0.5*1.23*L7^3/1000</f>
        <v>411.4973809382584</v>
      </c>
      <c r="M19" s="34">
        <f>INPUTS!$E$33*(PI()*INPUTS!$E$29^2/4)*0.5*1.23*M7^3/1000</f>
        <v>548.17140312605989</v>
      </c>
      <c r="N19" s="34">
        <f>INPUTS!$E$33*(PI()*INPUTS!$E$29^2/4)*0.5*1.23*N7^3/1000</f>
        <v>591.42888113535037</v>
      </c>
      <c r="O19" s="35">
        <f>SUM(C19:N19)</f>
        <v>5828.9737786649912</v>
      </c>
    </row>
    <row r="20" spans="2:15">
      <c r="B20" s="32" t="s">
        <v>31</v>
      </c>
      <c r="C20" s="34">
        <f>INPUTS!$E$34*C19*24*30.417</f>
        <v>503779.25011715107</v>
      </c>
      <c r="D20" s="34">
        <f>INPUTS!$E$34*D19*24*30.417</f>
        <v>444463.28450220369</v>
      </c>
      <c r="E20" s="34">
        <f>INPUTS!$E$34*E19*24*30.417</f>
        <v>468735.46930653352</v>
      </c>
      <c r="F20" s="34">
        <f>INPUTS!$E$34*F19*24*30.417</f>
        <v>523981.94039904152</v>
      </c>
      <c r="G20" s="34">
        <f>INPUTS!$E$34*G19*24*30.417</f>
        <v>352596.38176683441</v>
      </c>
      <c r="H20" s="34">
        <f>INPUTS!$E$34*H19*24*30.417</f>
        <v>262556.13082805119</v>
      </c>
      <c r="I20" s="34">
        <f>INPUTS!$E$34*I19*24*30.417</f>
        <v>187250.1462402803</v>
      </c>
      <c r="J20" s="34">
        <f>INPUTS!$E$34*J19*24*30.417</f>
        <v>166428.0480806735</v>
      </c>
      <c r="K20" s="34">
        <f>INPUTS!$E$34*K19*24*30.417</f>
        <v>213093.13459782442</v>
      </c>
      <c r="L20" s="34">
        <f>INPUTS!$E$34*L19*24*30.417</f>
        <v>300396.38006397616</v>
      </c>
      <c r="M20" s="34">
        <f>INPUTS!$E$34*M19*24*30.417</f>
        <v>400169.50965324877</v>
      </c>
      <c r="N20" s="34">
        <f>INPUTS!$E$34*N19*24*30.417</f>
        <v>431747.81465985486</v>
      </c>
      <c r="O20" s="35">
        <f>SUM(C20:N20)</f>
        <v>4255197.490215674</v>
      </c>
    </row>
    <row r="21" spans="2:15">
      <c r="B21" s="31" t="s">
        <v>129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workbookViewId="0">
      <selection activeCell="Q7" sqref="Q7"/>
    </sheetView>
  </sheetViews>
  <sheetFormatPr baseColWidth="10" defaultRowHeight="15" x14ac:dyDescent="0"/>
  <cols>
    <col min="2" max="2" width="32.83203125" customWidth="1"/>
    <col min="3" max="3" width="14.1640625" customWidth="1"/>
    <col min="4" max="4" width="12.5" customWidth="1"/>
    <col min="15" max="15" width="16.33203125" customWidth="1"/>
  </cols>
  <sheetData>
    <row r="2" spans="2:15" ht="30">
      <c r="B2" s="15" t="s">
        <v>92</v>
      </c>
      <c r="C2">
        <v>100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25">
        <v>2.76</v>
      </c>
      <c r="D5" s="25">
        <v>3.31</v>
      </c>
      <c r="E5" s="25">
        <v>4.13</v>
      </c>
      <c r="F5" s="25">
        <v>4.84</v>
      </c>
      <c r="G5" s="25">
        <v>5.34</v>
      </c>
      <c r="H5" s="25">
        <v>5.73</v>
      </c>
      <c r="I5" s="25">
        <v>5.94</v>
      </c>
      <c r="J5" s="25">
        <v>5.43</v>
      </c>
      <c r="K5" s="25">
        <v>5.0599999999999996</v>
      </c>
      <c r="L5" s="25">
        <v>4.12</v>
      </c>
      <c r="M5" s="25">
        <v>2.78</v>
      </c>
      <c r="N5" s="25">
        <v>2.38</v>
      </c>
      <c r="O5" s="25">
        <v>4.32</v>
      </c>
    </row>
    <row r="6" spans="2:15" ht="46">
      <c r="B6" s="1" t="s">
        <v>14</v>
      </c>
      <c r="C6" s="25">
        <v>-3.63</v>
      </c>
      <c r="D6" s="25">
        <v>-0.83</v>
      </c>
      <c r="E6" s="25">
        <v>4.43</v>
      </c>
      <c r="F6" s="25">
        <v>11.7</v>
      </c>
      <c r="G6" s="25">
        <v>18</v>
      </c>
      <c r="H6" s="25">
        <v>22.8</v>
      </c>
      <c r="I6" s="25">
        <v>24.8</v>
      </c>
      <c r="J6" s="25">
        <v>23.7</v>
      </c>
      <c r="K6" s="25">
        <v>19.5</v>
      </c>
      <c r="L6" s="25">
        <v>13.6</v>
      </c>
      <c r="M6" s="25">
        <v>6.17</v>
      </c>
      <c r="N6" s="25">
        <v>-1.1299999999999999</v>
      </c>
      <c r="O6" s="25">
        <v>11.6</v>
      </c>
    </row>
    <row r="7" spans="2:15" ht="30">
      <c r="B7" s="1" t="s">
        <v>15</v>
      </c>
      <c r="C7" s="25">
        <v>7.39</v>
      </c>
      <c r="D7" s="25">
        <v>7.18</v>
      </c>
      <c r="E7" s="25">
        <v>7.44</v>
      </c>
      <c r="F7" s="25">
        <v>7.79</v>
      </c>
      <c r="G7" s="25">
        <v>6.77</v>
      </c>
      <c r="H7" s="25">
        <v>6.11</v>
      </c>
      <c r="I7" s="25">
        <v>5.44</v>
      </c>
      <c r="J7" s="25">
        <v>5.24</v>
      </c>
      <c r="K7" s="25">
        <v>5.72</v>
      </c>
      <c r="L7" s="25">
        <v>6.45</v>
      </c>
      <c r="M7" s="25">
        <v>7.01</v>
      </c>
      <c r="N7" s="25">
        <v>7.09</v>
      </c>
      <c r="O7" s="25">
        <v>6.63</v>
      </c>
    </row>
    <row r="8" spans="2:15">
      <c r="B8" s="1" t="s">
        <v>16</v>
      </c>
      <c r="C8" s="25">
        <v>9.65</v>
      </c>
      <c r="D8" s="25">
        <v>10.7</v>
      </c>
      <c r="E8" s="25">
        <v>11.9</v>
      </c>
      <c r="F8" s="25">
        <v>13.2</v>
      </c>
      <c r="G8" s="25">
        <v>14.4</v>
      </c>
      <c r="H8" s="25">
        <v>15</v>
      </c>
      <c r="I8" s="25">
        <v>14.7</v>
      </c>
      <c r="J8" s="25">
        <v>13.7</v>
      </c>
      <c r="K8" s="25">
        <v>12.5</v>
      </c>
      <c r="L8" s="25">
        <v>11.1</v>
      </c>
      <c r="M8" s="25">
        <v>9.98</v>
      </c>
      <c r="N8" s="25">
        <v>9.35</v>
      </c>
      <c r="O8" s="26">
        <f t="shared" ref="O8" si="0">AVERAGE(C8:N8)</f>
        <v>12.181666666666665</v>
      </c>
    </row>
    <row r="11" spans="2:15" ht="16">
      <c r="B11" s="31" t="s">
        <v>17</v>
      </c>
      <c r="C11" s="31" t="s">
        <v>51</v>
      </c>
    </row>
    <row r="12" spans="2:15">
      <c r="B12" s="31" t="s">
        <v>19</v>
      </c>
      <c r="C12" s="31">
        <v>40.47</v>
      </c>
    </row>
    <row r="13" spans="2:15">
      <c r="B13" s="31" t="s">
        <v>20</v>
      </c>
      <c r="C13" s="31">
        <v>-88.4</v>
      </c>
    </row>
    <row r="14" spans="2:15">
      <c r="D14" s="31" t="s">
        <v>130</v>
      </c>
    </row>
    <row r="15" spans="2:15">
      <c r="B15" s="101" t="s">
        <v>118</v>
      </c>
      <c r="C15" s="34">
        <f>O5*365*3600*INPUTS!$E$40*INPUTS!$E$38/1000</f>
        <v>28382400.000000004</v>
      </c>
      <c r="D15" s="110">
        <f>O5*365*3600*INPUTS!$E$40*INPUTS!$E$39/1000</f>
        <v>26963280.000000004</v>
      </c>
    </row>
    <row r="17" spans="2:15" ht="21" customHeight="1">
      <c r="B17" s="32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32" t="s">
        <v>32</v>
      </c>
      <c r="C18" s="34">
        <f>INPUTS!$E$45*INPUTS!$E$38*INPUTS!$E$40*((INPUTS!$E$42*C5*30.417*(3600/1000))-(INPUTS!$E$43*(INPUTS!$E$44-C6)*(C8-2)*3600*30.417)/(10^6))</f>
        <v>323918.7984436499</v>
      </c>
      <c r="D18" s="34">
        <f>INPUTS!$E$45*INPUTS!$E$38*INPUTS!$E$40*((INPUTS!$E$42*D5*30.417*(3600/1000))-(INPUTS!$E$43*(INPUTS!$E$44-D6)*(D8-2)*3600*30.417)/(10^6))</f>
        <v>483124.74208470015</v>
      </c>
      <c r="E18" s="34">
        <f>INPUTS!$E$45*INPUTS!$E$38*INPUTS!$E$40*((INPUTS!$E$42*E5*30.417*(3600/1000))-(INPUTS!$E$43*(INPUTS!$E$44-E6)*(E8-2)*3600*30.417)/(10^6))</f>
        <v>794177.08109010011</v>
      </c>
      <c r="F18" s="34">
        <f>INPUTS!$E$45*INPUTS!$E$38*INPUTS!$E$40*((INPUTS!$E$42*F5*30.417*(3600/1000))-(INPUTS!$E$43*(INPUTS!$E$44-F6)*(F8-2)*3600*30.417)/(10^6))</f>
        <v>1138501.4965920001</v>
      </c>
      <c r="G18" s="34">
        <f>INPUTS!$E$45*INPUTS!$E$38*INPUTS!$E$40*((INPUTS!$E$42*G5*30.417*(3600/1000))-(INPUTS!$E$43*(INPUTS!$E$44-G6)*(G8-2)*3600*30.417)/(10^6))</f>
        <v>1427118.1894799999</v>
      </c>
      <c r="H18" s="34">
        <f>INPUTS!$E$45*INPUTS!$E$38*INPUTS!$E$40*((INPUTS!$E$42*H5*30.417*(3600/1000))-(INPUTS!$E$43*(INPUTS!$E$44-H6)*(H8-2)*3600*30.417)/(10^6))</f>
        <v>1681232.1492600003</v>
      </c>
      <c r="I18" s="34">
        <f>INPUTS!$E$45*INPUTS!$E$38*INPUTS!$E$40*((INPUTS!$E$42*I5*30.417*(3600/1000))-(INPUTS!$E$43*(INPUTS!$E$44-I6)*(I8-2)*3600*30.417)/(10^6))</f>
        <v>1820174.3893979995</v>
      </c>
      <c r="J18" s="34">
        <f>INPUTS!$E$45*INPUTS!$E$38*INPUTS!$E$40*((INPUTS!$E$42*J5*30.417*(3600/1000))-(INPUTS!$E$43*(INPUTS!$E$44-J6)*(J8-2)*3600*30.417)/(10^6))</f>
        <v>1633314.1503870001</v>
      </c>
      <c r="K18" s="34">
        <f>INPUTS!$E$45*INPUTS!$E$38*INPUTS!$E$40*((INPUTS!$E$42*K5*30.417*(3600/1000))-(INPUTS!$E$43*(INPUTS!$E$44-K6)*(K8-2)*3600*30.417)/(10^6))</f>
        <v>1434324.7372049999</v>
      </c>
      <c r="L18" s="34">
        <f>INPUTS!$E$45*INPUTS!$E$38*INPUTS!$E$40*((INPUTS!$E$42*L5*30.417*(3600/1000))-(INPUTS!$E$43*(INPUTS!$E$44-L6)*(L8-2)*3600*30.417)/(10^6))</f>
        <v>1029893.2788780002</v>
      </c>
      <c r="M18" s="34">
        <f>INPUTS!$E$45*INPUTS!$E$38*INPUTS!$E$40*((INPUTS!$E$42*M5*30.417*(3600/1000))-(INPUTS!$E$43*(INPUTS!$E$44-M6)*(M8-2)*3600*30.417)/(10^6))</f>
        <v>476156.78652437992</v>
      </c>
      <c r="N18" s="34">
        <f>INPUTS!$E$45*INPUTS!$E$38*INPUTS!$E$40*((INPUTS!$E$42*N5*30.417*(3600/1000))-(INPUTS!$E$43*(INPUTS!$E$44-N6)*(N8-2)*3600*30.417)/(10^6))</f>
        <v>255543.07362885005</v>
      </c>
      <c r="O18" s="35">
        <f>SUM(C18:N18)</f>
        <v>12497478.87297168</v>
      </c>
    </row>
    <row r="19" spans="2:15">
      <c r="B19" s="32" t="s">
        <v>33</v>
      </c>
      <c r="C19" s="34">
        <f>INPUTS!$E$33*(PI()*INPUTS!$E$29^2/4)*0.5*1.23*C7^3/1000</f>
        <v>639.49676875415071</v>
      </c>
      <c r="D19" s="34">
        <f>INPUTS!$E$33*(PI()*INPUTS!$E$29^2/4)*0.5*1.23*D7^3/1000</f>
        <v>586.51398493287513</v>
      </c>
      <c r="E19" s="34">
        <f>INPUTS!$E$33*(PI()*INPUTS!$E$29^2/4)*0.5*1.23*E7^3/1000</f>
        <v>652.56510362604524</v>
      </c>
      <c r="F19" s="34">
        <f>INPUTS!$E$33*(PI()*INPUTS!$E$29^2/4)*0.5*1.23*F7^3/1000</f>
        <v>749.06139017180931</v>
      </c>
      <c r="G19" s="34">
        <f>INPUTS!$E$33*(PI()*INPUTS!$E$29^2/4)*0.5*1.23*G7^3/1000</f>
        <v>491.66698331161956</v>
      </c>
      <c r="H19" s="34">
        <f>INPUTS!$E$33*(PI()*INPUTS!$E$29^2/4)*0.5*1.23*H7^3/1000</f>
        <v>361.43372190949634</v>
      </c>
      <c r="I19" s="34">
        <f>INPUTS!$E$33*(PI()*INPUTS!$E$29^2/4)*0.5*1.23*I7^3/1000</f>
        <v>255.09487785068657</v>
      </c>
      <c r="J19" s="34">
        <f>INPUTS!$E$33*(PI()*INPUTS!$E$29^2/4)*0.5*1.23*J7^3/1000</f>
        <v>227.98112908443946</v>
      </c>
      <c r="K19" s="34">
        <f>INPUTS!$E$33*(PI()*INPUTS!$E$29^2/4)*0.5*1.23*K7^3/1000</f>
        <v>296.54672054495177</v>
      </c>
      <c r="L19" s="34">
        <f>INPUTS!$E$33*(PI()*INPUTS!$E$29^2/4)*0.5*1.23*L7^3/1000</f>
        <v>425.1911173722176</v>
      </c>
      <c r="M19" s="34">
        <f>INPUTS!$E$33*(PI()*INPUTS!$E$29^2/4)*0.5*1.23*M7^3/1000</f>
        <v>545.83212576296</v>
      </c>
      <c r="N19" s="34">
        <f>INPUTS!$E$33*(PI()*INPUTS!$E$29^2/4)*0.5*1.23*N7^3/1000</f>
        <v>564.73375217330374</v>
      </c>
      <c r="O19" s="35">
        <f>SUM(C19:N19)</f>
        <v>5796.1176754945545</v>
      </c>
    </row>
    <row r="20" spans="2:15">
      <c r="B20" s="32" t="s">
        <v>31</v>
      </c>
      <c r="C20" s="34">
        <f>INPUTS!$E$34*C19*24*30.417</f>
        <v>466837.75716468005</v>
      </c>
      <c r="D20" s="34">
        <f>INPUTS!$E$34*D19*24*30.417</f>
        <v>428159.90111287829</v>
      </c>
      <c r="E20" s="34">
        <f>INPUTS!$E$34*E19*24*30.417</f>
        <v>476377.74616784207</v>
      </c>
      <c r="F20" s="34">
        <f>INPUTS!$E$34*F19*24*30.417</f>
        <v>546820.80731654225</v>
      </c>
      <c r="G20" s="34">
        <f>INPUTS!$E$34*G19*24*30.417</f>
        <v>358920.83115334879</v>
      </c>
      <c r="H20" s="34">
        <f>INPUTS!$E$34*H19*24*30.417</f>
        <v>263849.50846370758</v>
      </c>
      <c r="I20" s="34">
        <f>INPUTS!$E$34*I19*24*30.417</f>
        <v>186221.30159002403</v>
      </c>
      <c r="J20" s="34">
        <f>INPUTS!$E$34*J19*24*30.417</f>
        <v>166428.0480806735</v>
      </c>
      <c r="K20" s="34">
        <f>INPUTS!$E$34*K19*24*30.417</f>
        <v>216481.47837157917</v>
      </c>
      <c r="L20" s="34">
        <f>INPUTS!$E$34*L19*24*30.417</f>
        <v>310392.91721065785</v>
      </c>
      <c r="M20" s="34">
        <f>INPUTS!$E$34*M19*24*30.417</f>
        <v>398461.81846396695</v>
      </c>
      <c r="N20" s="34">
        <f>INPUTS!$E$34*N19*24*30.417</f>
        <v>412260.15695652913</v>
      </c>
      <c r="O20" s="35">
        <f>SUM(C20:N20)</f>
        <v>4231212.2720524296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1"/>
  <sheetViews>
    <sheetView topLeftCell="D1" workbookViewId="0">
      <selection activeCell="C18" sqref="C18:N18"/>
    </sheetView>
  </sheetViews>
  <sheetFormatPr baseColWidth="10" defaultRowHeight="15" x14ac:dyDescent="0"/>
  <cols>
    <col min="1" max="1" width="7.83203125" customWidth="1"/>
    <col min="2" max="2" width="41.5" customWidth="1"/>
    <col min="3" max="3" width="11.5" bestFit="1" customWidth="1"/>
    <col min="4" max="4" width="13.33203125" customWidth="1"/>
    <col min="15" max="15" width="14.83203125" customWidth="1"/>
  </cols>
  <sheetData>
    <row r="2" spans="2:15" ht="30">
      <c r="B2" s="77" t="s">
        <v>92</v>
      </c>
      <c r="C2">
        <v>55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 ht="16">
      <c r="B5" s="1" t="s">
        <v>22</v>
      </c>
      <c r="C5" s="24">
        <v>3.02</v>
      </c>
      <c r="D5" s="24">
        <v>3.84</v>
      </c>
      <c r="E5" s="24">
        <v>4.37</v>
      </c>
      <c r="F5" s="24">
        <v>4.8099999999999996</v>
      </c>
      <c r="G5" s="24">
        <v>5.31</v>
      </c>
      <c r="H5" s="24">
        <v>5.68</v>
      </c>
      <c r="I5" s="24">
        <v>5.72</v>
      </c>
      <c r="J5" s="24">
        <v>5.26</v>
      </c>
      <c r="K5" s="24">
        <v>4.68</v>
      </c>
      <c r="L5" s="24">
        <v>3.68</v>
      </c>
      <c r="M5" s="24">
        <v>2.73</v>
      </c>
      <c r="N5" s="24">
        <v>2.5499999999999998</v>
      </c>
      <c r="O5" s="24">
        <v>4.3099999999999996</v>
      </c>
    </row>
    <row r="6" spans="2:15" ht="31">
      <c r="B6" s="1" t="s">
        <v>14</v>
      </c>
      <c r="C6" s="2">
        <v>-8.36</v>
      </c>
      <c r="D6" s="2">
        <v>-5.51</v>
      </c>
      <c r="E6" s="2">
        <v>0.32</v>
      </c>
      <c r="F6" s="2">
        <v>8.02</v>
      </c>
      <c r="G6" s="2">
        <v>15</v>
      </c>
      <c r="H6" s="2">
        <v>20.7</v>
      </c>
      <c r="I6" s="2">
        <v>22.9</v>
      </c>
      <c r="J6" s="2">
        <v>21.6</v>
      </c>
      <c r="K6" s="2">
        <v>17</v>
      </c>
      <c r="L6" s="2">
        <v>10</v>
      </c>
      <c r="M6" s="2">
        <v>1.88</v>
      </c>
      <c r="N6" s="2">
        <v>-5.43</v>
      </c>
      <c r="O6" s="2">
        <v>8.27</v>
      </c>
    </row>
    <row r="7" spans="2:15">
      <c r="B7" s="1" t="s">
        <v>15</v>
      </c>
      <c r="C7" s="25">
        <v>6.88</v>
      </c>
      <c r="D7" s="25">
        <v>6.7</v>
      </c>
      <c r="E7" s="25">
        <v>6.87</v>
      </c>
      <c r="F7" s="25">
        <v>7.46</v>
      </c>
      <c r="G7" s="25">
        <v>6.67</v>
      </c>
      <c r="H7" s="25">
        <v>6.14</v>
      </c>
      <c r="I7" s="25">
        <v>5.51</v>
      </c>
      <c r="J7" s="25">
        <v>5.36</v>
      </c>
      <c r="K7" s="25">
        <v>5.78</v>
      </c>
      <c r="L7" s="25">
        <v>6.42</v>
      </c>
      <c r="M7" s="25">
        <v>6.72</v>
      </c>
      <c r="N7" s="25">
        <v>6.62</v>
      </c>
      <c r="O7" s="25">
        <v>6.42</v>
      </c>
    </row>
    <row r="8" spans="2:15">
      <c r="B8" s="1" t="s">
        <v>16</v>
      </c>
      <c r="C8" s="25">
        <v>9.36</v>
      </c>
      <c r="D8" s="25">
        <v>10.5</v>
      </c>
      <c r="E8" s="25">
        <v>11.9</v>
      </c>
      <c r="F8" s="25">
        <v>13.4</v>
      </c>
      <c r="G8" s="25">
        <v>14.7</v>
      </c>
      <c r="H8" s="25">
        <v>15.3</v>
      </c>
      <c r="I8" s="25">
        <v>15</v>
      </c>
      <c r="J8" s="25">
        <v>13.9</v>
      </c>
      <c r="K8" s="25">
        <v>12.5</v>
      </c>
      <c r="L8" s="25">
        <v>11</v>
      </c>
      <c r="M8" s="25">
        <v>9.75</v>
      </c>
      <c r="N8" s="25">
        <v>9.01</v>
      </c>
      <c r="O8" s="26">
        <f t="shared" ref="O8" si="0">AVERAGE(C8:N8)</f>
        <v>12.193333333333333</v>
      </c>
    </row>
    <row r="9" spans="2:15">
      <c r="B9" s="1"/>
    </row>
    <row r="10" spans="2:15">
      <c r="B10" s="1"/>
    </row>
    <row r="11" spans="2:15" ht="16">
      <c r="B11" t="s">
        <v>17</v>
      </c>
      <c r="C11" t="s">
        <v>18</v>
      </c>
    </row>
    <row r="12" spans="2:15">
      <c r="B12" t="s">
        <v>19</v>
      </c>
      <c r="C12">
        <v>43.54</v>
      </c>
    </row>
    <row r="13" spans="2:15">
      <c r="B13" t="s">
        <v>20</v>
      </c>
      <c r="C13">
        <v>-89.11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28316699.999999996</v>
      </c>
      <c r="D15" s="110">
        <f>O5*365*3600*INPUTS!$E$40*INPUTS!$E$39/1000</f>
        <v>26900864.999999996</v>
      </c>
    </row>
    <row r="16" spans="2:15">
      <c r="B16" s="1"/>
    </row>
    <row r="17" spans="2:15" ht="40" customHeight="1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363809.59011072008</v>
      </c>
      <c r="D18" s="34">
        <f>INPUTS!$E$45*INPUTS!$E$38*INPUTS!$E$40*((INPUTS!$E$42*D5*30.417*(3600/1000))-(INPUTS!$E$43*(INPUTS!$E$44-D6)*(D8-2)*3600*30.417)/(10^6))</f>
        <v>598841.94195450016</v>
      </c>
      <c r="E18" s="34">
        <f>INPUTS!$E$45*INPUTS!$E$38*INPUTS!$E$40*((INPUTS!$E$42*E5*30.417*(3600/1000))-(INPUTS!$E$43*(INPUTS!$E$44-E6)*(E8-2)*3600*30.417)/(10^6))</f>
        <v>789101.45409239992</v>
      </c>
      <c r="F18" s="34">
        <f>INPUTS!$E$45*INPUTS!$E$38*INPUTS!$E$40*((INPUTS!$E$42*F5*30.417*(3600/1000))-(INPUTS!$E$43*(INPUTS!$E$44-F6)*(F8-2)*3600*30.417)/(10^6))</f>
        <v>1024500.5637803999</v>
      </c>
      <c r="G18" s="34">
        <f>INPUTS!$E$45*INPUTS!$E$38*INPUTS!$E$40*((INPUTS!$E$42*G5*30.417*(3600/1000))-(INPUTS!$E$43*(INPUTS!$E$44-G6)*(G8-2)*3600*30.417)/(10^6))</f>
        <v>1320683.0230799995</v>
      </c>
      <c r="H18" s="34">
        <f>INPUTS!$E$45*INPUTS!$E$38*INPUTS!$E$40*((INPUTS!$E$42*H5*30.417*(3600/1000))-(INPUTS!$E$43*(INPUTS!$E$44-H6)*(H8-2)*3600*30.417)/(10^6))</f>
        <v>1593445.3109730002</v>
      </c>
      <c r="I18" s="34">
        <f>INPUTS!$E$45*INPUTS!$E$38*INPUTS!$E$40*((INPUTS!$E$42*I5*30.417*(3600/1000))-(INPUTS!$E$43*(INPUTS!$E$44-I6)*(I8-2)*3600*30.417)/(10^6))</f>
        <v>1680566.9294699999</v>
      </c>
      <c r="J18" s="34">
        <f>INPUTS!$E$45*INPUTS!$E$38*INPUTS!$E$40*((INPUTS!$E$42*J5*30.417*(3600/1000))-(INPUTS!$E$43*(INPUTS!$E$44-J6)*(J8-2)*3600*30.417)/(10^6))</f>
        <v>1512576.758502</v>
      </c>
      <c r="K18" s="34">
        <f>INPUTS!$E$45*INPUTS!$E$38*INPUTS!$E$40*((INPUTS!$E$42*K5*30.417*(3600/1000))-(INPUTS!$E$43*(INPUTS!$E$44-K6)*(K8-2)*3600*30.417)/(10^6))</f>
        <v>1241300.1281399999</v>
      </c>
      <c r="L18" s="34">
        <f>INPUTS!$E$45*INPUTS!$E$38*INPUTS!$E$40*((INPUTS!$E$42*L5*30.417*(3600/1000))-(INPUTS!$E$43*(INPUTS!$E$44-L6)*(L8-2)*3600*30.417)/(10^6))</f>
        <v>806689.86534000025</v>
      </c>
      <c r="M18" s="34">
        <f>INPUTS!$E$45*INPUTS!$E$38*INPUTS!$E$40*((INPUTS!$E$42*M5*30.417*(3600/1000))-(INPUTS!$E$43*(INPUTS!$E$44-M6)*(M8-2)*3600*30.417)/(10^6))</f>
        <v>399397.96191600006</v>
      </c>
      <c r="N18" s="34">
        <f>INPUTS!$E$45*INPUTS!$E$38*INPUTS!$E$40*((INPUTS!$E$42*N5*30.417*(3600/1000))-(INPUTS!$E$43*(INPUTS!$E$44-N6)*(N8-2)*3600*30.417)/(10^6))</f>
        <v>276256.24397000985</v>
      </c>
      <c r="O18" s="23">
        <f>SUM(C18:N18)</f>
        <v>11607169.77132903</v>
      </c>
    </row>
    <row r="19" spans="2:15">
      <c r="B19" s="1" t="s">
        <v>33</v>
      </c>
      <c r="C19" s="34">
        <f>INPUTS!$E$33*(PI()*INPUTS!$E$29^2/4)*0.5*1.23*C7^3/1000</f>
        <v>516.02453829825288</v>
      </c>
      <c r="D19" s="34">
        <f>INPUTS!$E$33*(PI()*INPUTS!$E$29^2/4)*0.5*1.23*D7^3/1000</f>
        <v>476.57301466293558</v>
      </c>
      <c r="E19" s="34">
        <f>INPUTS!$E$33*(PI()*INPUTS!$E$29^2/4)*0.5*1.23*E7^3/1000</f>
        <v>513.77770021967081</v>
      </c>
      <c r="F19" s="34">
        <f>INPUTS!$E$33*(PI()*INPUTS!$E$29^2/4)*0.5*1.23*F7^3/1000</f>
        <v>657.8418849386594</v>
      </c>
      <c r="G19" s="34">
        <f>INPUTS!$E$33*(PI()*INPUTS!$E$29^2/4)*0.5*1.23*G7^3/1000</f>
        <v>470.19990926707283</v>
      </c>
      <c r="H19" s="34">
        <f>INPUTS!$E$33*(PI()*INPUTS!$E$29^2/4)*0.5*1.23*H7^3/1000</f>
        <v>366.78380593631186</v>
      </c>
      <c r="I19" s="34">
        <f>INPUTS!$E$33*(PI()*INPUTS!$E$29^2/4)*0.5*1.23*I7^3/1000</f>
        <v>265.06954694360576</v>
      </c>
      <c r="J19" s="34">
        <f>INPUTS!$E$33*(PI()*INPUTS!$E$29^2/4)*0.5*1.23*J7^3/1000</f>
        <v>244.00538350742301</v>
      </c>
      <c r="K19" s="34">
        <f>INPUTS!$E$33*(PI()*INPUTS!$E$29^2/4)*0.5*1.23*K7^3/1000</f>
        <v>305.97683957041573</v>
      </c>
      <c r="L19" s="34">
        <f>INPUTS!$E$33*(PI()*INPUTS!$E$29^2/4)*0.5*1.23*L7^3/1000</f>
        <v>419.28577015780837</v>
      </c>
      <c r="M19" s="34">
        <f>INPUTS!$E$33*(PI()*INPUTS!$E$29^2/4)*0.5*1.23*M7^3/1000</f>
        <v>480.85358513641501</v>
      </c>
      <c r="N19" s="34">
        <f>INPUTS!$E$33*(PI()*INPUTS!$E$29^2/4)*0.5*1.23*N7^3/1000</f>
        <v>459.7047672935787</v>
      </c>
      <c r="O19" s="23">
        <f>SUM(C19:N19)</f>
        <v>5176.096745932151</v>
      </c>
    </row>
    <row r="20" spans="2:15">
      <c r="B20" s="1" t="s">
        <v>31</v>
      </c>
      <c r="C20" s="34">
        <f>INPUTS!$E$34*C19*24*30.417</f>
        <v>376702.041154031</v>
      </c>
      <c r="D20" s="34">
        <f>INPUTS!$E$34*D19*24*30.417</f>
        <v>347902.1132880603</v>
      </c>
      <c r="E20" s="34">
        <f>INPUTS!$E$34*E19*24*30.417</f>
        <v>375061.83138196147</v>
      </c>
      <c r="F20" s="34">
        <f>INPUTS!$E$34*F19*24*30.417</f>
        <v>480229.83874030091</v>
      </c>
      <c r="G20" s="34">
        <f>INPUTS!$E$34*G19*24*30.417</f>
        <v>343249.6953642373</v>
      </c>
      <c r="H20" s="34">
        <f>INPUTS!$E$34*H19*24*30.417</f>
        <v>267755.11260395515</v>
      </c>
      <c r="I20" s="34">
        <f>INPUTS!$E$34*I19*24*30.417</f>
        <v>193502.88982520776</v>
      </c>
      <c r="J20" s="34">
        <f>INPUTS!$E$34*J19*24*30.417</f>
        <v>178125.88200348688</v>
      </c>
      <c r="K20" s="34">
        <f>INPUTS!$E$34*K19*24*30.417</f>
        <v>223365.54070112007</v>
      </c>
      <c r="L20" s="34">
        <f>INPUTS!$E$34*L19*24*30.417</f>
        <v>306081.9665013614</v>
      </c>
      <c r="M20" s="34">
        <f>INPUTS!$E$34*M19*24*30.417</f>
        <v>351026.96397826407</v>
      </c>
      <c r="N20" s="34">
        <f>INPUTS!$E$34*N19*24*30.417</f>
        <v>335588.15776245081</v>
      </c>
      <c r="O20" s="23">
        <f>SUM(C20:N20)</f>
        <v>3778592.0333044366</v>
      </c>
    </row>
    <row r="21" spans="2:15">
      <c r="B21" s="1"/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E1" workbookViewId="0">
      <selection activeCell="O13" sqref="O13"/>
    </sheetView>
  </sheetViews>
  <sheetFormatPr baseColWidth="10" defaultRowHeight="15" x14ac:dyDescent="0"/>
  <cols>
    <col min="2" max="2" width="33.33203125" customWidth="1"/>
    <col min="3" max="3" width="13.83203125" customWidth="1"/>
    <col min="15" max="15" width="14.6640625" customWidth="1"/>
  </cols>
  <sheetData>
    <row r="2" spans="2:15" ht="30">
      <c r="B2" s="77" t="s">
        <v>92</v>
      </c>
      <c r="C2">
        <v>40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80">
        <v>2.86</v>
      </c>
      <c r="D5" s="80">
        <v>3.38</v>
      </c>
      <c r="E5" s="80">
        <v>4.16</v>
      </c>
      <c r="F5" s="80">
        <v>4.99</v>
      </c>
      <c r="G5" s="80">
        <v>5.44</v>
      </c>
      <c r="H5" s="80">
        <v>5.78</v>
      </c>
      <c r="I5" s="80">
        <v>6.07</v>
      </c>
      <c r="J5" s="80">
        <v>5.59</v>
      </c>
      <c r="K5" s="80">
        <v>4.7699999999999996</v>
      </c>
      <c r="L5" s="80">
        <v>3.91</v>
      </c>
      <c r="M5" s="80">
        <v>2.83</v>
      </c>
      <c r="N5" s="80">
        <v>2.41</v>
      </c>
      <c r="O5" s="80">
        <v>4.3600000000000003</v>
      </c>
    </row>
    <row r="6" spans="2:15" ht="46">
      <c r="B6" s="1" t="s">
        <v>14</v>
      </c>
      <c r="C6" s="80">
        <v>-11.1</v>
      </c>
      <c r="D6" s="80">
        <v>-8.0500000000000007</v>
      </c>
      <c r="E6" s="80">
        <v>-1.83</v>
      </c>
      <c r="F6" s="80">
        <v>7.03</v>
      </c>
      <c r="G6" s="80">
        <v>14.6</v>
      </c>
      <c r="H6" s="80">
        <v>19.5</v>
      </c>
      <c r="I6" s="80">
        <v>21.6</v>
      </c>
      <c r="J6" s="80">
        <v>20.399999999999999</v>
      </c>
      <c r="K6" s="80">
        <v>15.4</v>
      </c>
      <c r="L6" s="80">
        <v>8.07</v>
      </c>
      <c r="M6" s="80">
        <v>-1.37</v>
      </c>
      <c r="N6" s="80">
        <v>-8.61</v>
      </c>
      <c r="O6" s="80">
        <v>6.38</v>
      </c>
    </row>
    <row r="7" spans="2:15" ht="30">
      <c r="B7" s="1" t="s">
        <v>15</v>
      </c>
      <c r="C7" s="80">
        <v>6.31</v>
      </c>
      <c r="D7" s="80">
        <v>6.21</v>
      </c>
      <c r="E7" s="80">
        <v>6.7</v>
      </c>
      <c r="F7" s="80">
        <v>7.52</v>
      </c>
      <c r="G7" s="80">
        <v>6.81</v>
      </c>
      <c r="H7" s="80">
        <v>6.14</v>
      </c>
      <c r="I7" s="80">
        <v>5.49</v>
      </c>
      <c r="J7" s="80">
        <v>5.56</v>
      </c>
      <c r="K7" s="80">
        <v>5.98</v>
      </c>
      <c r="L7" s="80">
        <v>6.25</v>
      </c>
      <c r="M7" s="80">
        <v>6.25</v>
      </c>
      <c r="N7" s="80">
        <v>6.01</v>
      </c>
      <c r="O7" s="80">
        <v>6.27</v>
      </c>
    </row>
    <row r="8" spans="2:15">
      <c r="B8" s="1" t="s">
        <v>16</v>
      </c>
      <c r="C8" s="80">
        <v>9.26</v>
      </c>
      <c r="D8" s="80">
        <v>10.5</v>
      </c>
      <c r="E8" s="80">
        <v>11.9</v>
      </c>
      <c r="F8" s="80">
        <v>13.4</v>
      </c>
      <c r="G8" s="80">
        <v>14.7</v>
      </c>
      <c r="H8" s="80">
        <v>15.4</v>
      </c>
      <c r="I8" s="80">
        <v>15.1</v>
      </c>
      <c r="J8" s="80">
        <v>14</v>
      </c>
      <c r="K8" s="80">
        <v>12.5</v>
      </c>
      <c r="L8" s="80">
        <v>11</v>
      </c>
      <c r="M8" s="80">
        <v>9.66</v>
      </c>
      <c r="N8" s="80">
        <v>8.91</v>
      </c>
      <c r="O8" s="100">
        <f t="shared" ref="O8" si="0">AVERAGE(C8:N8)</f>
        <v>12.194166666666666</v>
      </c>
    </row>
    <row r="11" spans="2:15" ht="16">
      <c r="B11" s="31" t="s">
        <v>17</v>
      </c>
      <c r="C11" s="31" t="s">
        <v>52</v>
      </c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spans="2:15">
      <c r="B12" s="31" t="s">
        <v>19</v>
      </c>
      <c r="C12" s="31">
        <v>44.47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2:15">
      <c r="B13" s="31" t="s">
        <v>20</v>
      </c>
      <c r="C13" s="31">
        <v>-95.78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</row>
    <row r="14" spans="2:15">
      <c r="B14" s="31"/>
      <c r="C14" s="31"/>
      <c r="D14" s="31" t="s">
        <v>130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2:15">
      <c r="B15" s="101" t="s">
        <v>118</v>
      </c>
      <c r="C15" s="34">
        <f>O5*365*3600*INPUTS!$E$40*INPUTS!$E$38/1000</f>
        <v>28645200</v>
      </c>
      <c r="D15" s="110">
        <f>O5*365*3600*INPUTS!$E$40*INPUTS!$E$39/1000</f>
        <v>27212940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  <row r="16" spans="2:15"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</row>
    <row r="17" spans="2:15">
      <c r="B17" s="32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32" t="s">
        <v>32</v>
      </c>
      <c r="C18" s="34">
        <f>INPUTS!$E$45*INPUTS!$E$38*INPUTS!$E$40*((INPUTS!$E$42*C5*30.417*(3600/1000))-(INPUTS!$E$43*(INPUTS!$E$44-C6)*(C8-2)*3600*30.417)/(10^6))</f>
        <v>272549.4175601998</v>
      </c>
      <c r="D18" s="34">
        <f>INPUTS!$E$45*INPUTS!$E$38*INPUTS!$E$40*((INPUTS!$E$42*D5*30.417*(3600/1000))-(INPUTS!$E$43*(INPUTS!$E$44-D6)*(D8-2)*3600*30.417)/(10^6))</f>
        <v>387767.70258749992</v>
      </c>
      <c r="E18" s="34">
        <f>INPUTS!$E$45*INPUTS!$E$38*INPUTS!$E$40*((INPUTS!$E$42*E5*30.417*(3600/1000))-(INPUTS!$E$43*(INPUTS!$E$44-E6)*(E8-2)*3600*30.417)/(10^6))</f>
        <v>667399.49351190019</v>
      </c>
      <c r="F18" s="34">
        <f>INPUTS!$E$45*INPUTS!$E$38*INPUTS!$E$40*((INPUTS!$E$42*F5*30.417*(3600/1000))-(INPUTS!$E$43*(INPUTS!$E$44-F6)*(F8-2)*3600*30.417)/(10^6))</f>
        <v>1063336.0951206</v>
      </c>
      <c r="G18" s="34">
        <f>INPUTS!$E$45*INPUTS!$E$38*INPUTS!$E$40*((INPUTS!$E$42*G5*30.417*(3600/1000))-(INPUTS!$E$43*(INPUTS!$E$44-G6)*(G8-2)*3600*30.417)/(10^6))</f>
        <v>1355540.5400760002</v>
      </c>
      <c r="H18" s="34">
        <f>INPUTS!$E$45*INPUTS!$E$38*INPUTS!$E$40*((INPUTS!$E$42*H5*30.417*(3600/1000))-(INPUTS!$E$43*(INPUTS!$E$44-H6)*(H8-2)*3600*30.417)/(10^6))</f>
        <v>1590097.0380299999</v>
      </c>
      <c r="I18" s="34">
        <f>INPUTS!$E$45*INPUTS!$E$38*INPUTS!$E$40*((INPUTS!$E$42*I5*30.417*(3600/1000))-(INPUTS!$E$43*(INPUTS!$E$44-I6)*(I8-2)*3600*30.417)/(10^6))</f>
        <v>1764295.9270380004</v>
      </c>
      <c r="J18" s="34">
        <f>INPUTS!$E$45*INPUTS!$E$38*INPUTS!$E$40*((INPUTS!$E$42*J5*30.417*(3600/1000))-(INPUTS!$E$43*(INPUTS!$E$44-J6)*(J8-2)*3600*30.417)/(10^6))</f>
        <v>1594753.5765600004</v>
      </c>
      <c r="K18" s="34">
        <f>INPUTS!$E$45*INPUTS!$E$38*INPUTS!$E$40*((INPUTS!$E$42*K5*30.417*(3600/1000))-(INPUTS!$E$43*(INPUTS!$E$44-K6)*(K8-2)*3600*30.417)/(10^6))</f>
        <v>1235978.3698200001</v>
      </c>
      <c r="L18" s="34">
        <f>INPUTS!$E$45*INPUTS!$E$38*INPUTS!$E$40*((INPUTS!$E$42*L5*30.417*(3600/1000))-(INPUTS!$E$43*(INPUTS!$E$44-L6)*(L8-2)*3600*30.417)/(10^6))</f>
        <v>849773.93373899977</v>
      </c>
      <c r="M18" s="34">
        <f>INPUTS!$E$45*INPUTS!$E$38*INPUTS!$E$40*((INPUTS!$E$42*M5*30.417*(3600/1000))-(INPUTS!$E$43*(INPUTS!$E$44-M6)*(M8-2)*3600*30.417)/(10^6))</f>
        <v>386283.81897594</v>
      </c>
      <c r="N18" s="34">
        <f>INPUTS!$E$45*INPUTS!$E$38*INPUTS!$E$40*((INPUTS!$E$42*N5*30.417*(3600/1000))-(INPUTS!$E$43*(INPUTS!$E$44-N6)*(N8-2)*3600*30.417)/(10^6))</f>
        <v>186826.75628157004</v>
      </c>
      <c r="O18" s="35">
        <f>SUM(C18:N18)</f>
        <v>11354602.669300711</v>
      </c>
    </row>
    <row r="19" spans="2:15">
      <c r="B19" s="32" t="s">
        <v>33</v>
      </c>
      <c r="C19" s="34">
        <f>INPUTS!$E$33*(PI()*INPUTS!$E$29^2/4)*0.5*1.23*C7^3/1000</f>
        <v>398.10086109512434</v>
      </c>
      <c r="D19" s="34">
        <f>INPUTS!$E$33*(PI()*INPUTS!$E$29^2/4)*0.5*1.23*D7^3/1000</f>
        <v>379.47209045486863</v>
      </c>
      <c r="E19" s="34">
        <f>INPUTS!$E$33*(PI()*INPUTS!$E$29^2/4)*0.5*1.23*E7^3/1000</f>
        <v>476.57301466293558</v>
      </c>
      <c r="F19" s="34">
        <f>INPUTS!$E$33*(PI()*INPUTS!$E$29^2/4)*0.5*1.23*F7^3/1000</f>
        <v>673.84275145257016</v>
      </c>
      <c r="G19" s="34">
        <f>INPUTS!$E$33*(PI()*INPUTS!$E$29^2/4)*0.5*1.23*G7^3/1000</f>
        <v>500.43350052353333</v>
      </c>
      <c r="H19" s="34">
        <f>INPUTS!$E$33*(PI()*INPUTS!$E$29^2/4)*0.5*1.23*H7^3/1000</f>
        <v>366.78380593631186</v>
      </c>
      <c r="I19" s="34">
        <f>INPUTS!$E$33*(PI()*INPUTS!$E$29^2/4)*0.5*1.23*I7^3/1000</f>
        <v>262.19359154098231</v>
      </c>
      <c r="J19" s="34">
        <f>INPUTS!$E$33*(PI()*INPUTS!$E$29^2/4)*0.5*1.23*J7^3/1000</f>
        <v>272.35127577603532</v>
      </c>
      <c r="K19" s="34">
        <f>INPUTS!$E$33*(PI()*INPUTS!$E$29^2/4)*0.5*1.23*K7^3/1000</f>
        <v>338.85085921022068</v>
      </c>
      <c r="L19" s="34">
        <f>INPUTS!$E$33*(PI()*INPUTS!$E$29^2/4)*0.5*1.23*L7^3/1000</f>
        <v>386.85221805189883</v>
      </c>
      <c r="M19" s="34">
        <f>INPUTS!$E$33*(PI()*INPUTS!$E$29^2/4)*0.5*1.23*M7^3/1000</f>
        <v>386.85221805189883</v>
      </c>
      <c r="N19" s="34">
        <f>INPUTS!$E$33*(PI()*INPUTS!$E$29^2/4)*0.5*1.23*N7^3/1000</f>
        <v>343.97624817889641</v>
      </c>
      <c r="O19" s="35">
        <f>SUM(C19:N19)</f>
        <v>4786.2824349352768</v>
      </c>
    </row>
    <row r="20" spans="2:15">
      <c r="B20" s="32" t="s">
        <v>31</v>
      </c>
      <c r="C20" s="34">
        <f>INPUTS!$E$34*C19*24*30.417</f>
        <v>290616.81340632954</v>
      </c>
      <c r="D20" s="34">
        <f>INPUTS!$E$34*D19*24*30.417</f>
        <v>277017.66180877778</v>
      </c>
      <c r="E20" s="34">
        <f>INPUTS!$E$34*E19*24*30.417</f>
        <v>347902.1132880603</v>
      </c>
      <c r="F20" s="34">
        <f>INPUTS!$E$34*F19*24*30.417</f>
        <v>491910.59930238785</v>
      </c>
      <c r="G20" s="34">
        <f>INPUTS!$E$34*G19*24*30.417</f>
        <v>365320.45885018352</v>
      </c>
      <c r="H20" s="34">
        <f>INPUTS!$E$34*H19*24*30.417</f>
        <v>267755.11260395515</v>
      </c>
      <c r="I20" s="34">
        <f>INPUTS!$E$34*I19*24*30.417</f>
        <v>191403.41937364943</v>
      </c>
      <c r="J20" s="34">
        <f>INPUTS!$E$34*J19*24*30.417</f>
        <v>198818.61012671201</v>
      </c>
      <c r="K20" s="34">
        <f>INPUTS!$E$34*K19*24*30.417</f>
        <v>247363.83803033477</v>
      </c>
      <c r="L20" s="34">
        <f>INPUTS!$E$34*L19*24*30.417</f>
        <v>282405.21399563056</v>
      </c>
      <c r="M20" s="34">
        <f>INPUTS!$E$34*M19*24*30.417</f>
        <v>282405.21399563056</v>
      </c>
      <c r="N20" s="34">
        <f>INPUTS!$E$34*N19*24*30.417</f>
        <v>251105.41298057983</v>
      </c>
      <c r="O20" s="35">
        <f>SUM(C20:N20)</f>
        <v>3494024.4677622309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workbookViewId="0">
      <selection activeCell="O12" sqref="O12"/>
    </sheetView>
  </sheetViews>
  <sheetFormatPr baseColWidth="10" defaultRowHeight="15" x14ac:dyDescent="0"/>
  <cols>
    <col min="2" max="2" width="39.33203125" customWidth="1"/>
    <col min="3" max="3" width="12.83203125" customWidth="1"/>
    <col min="15" max="15" width="15.6640625" customWidth="1"/>
  </cols>
  <sheetData>
    <row r="2" spans="2:15" ht="30">
      <c r="B2" s="77" t="s">
        <v>92</v>
      </c>
      <c r="C2">
        <v>100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33">
        <v>2.89</v>
      </c>
      <c r="D5" s="33">
        <v>3.48</v>
      </c>
      <c r="E5" s="33">
        <v>4.37</v>
      </c>
      <c r="F5" s="33">
        <v>5.12</v>
      </c>
      <c r="G5" s="33">
        <v>5.62</v>
      </c>
      <c r="H5" s="33">
        <v>5.96</v>
      </c>
      <c r="I5" s="33">
        <v>6.21</v>
      </c>
      <c r="J5" s="33">
        <v>5.86</v>
      </c>
      <c r="K5" s="33">
        <v>5.0199999999999996</v>
      </c>
      <c r="L5" s="33">
        <v>4.1100000000000003</v>
      </c>
      <c r="M5" s="33">
        <v>3.04</v>
      </c>
      <c r="N5" s="33">
        <v>2.54</v>
      </c>
      <c r="O5" s="33">
        <v>4.5199999999999996</v>
      </c>
    </row>
    <row r="6" spans="2:15" ht="31">
      <c r="B6" s="1" t="s">
        <v>14</v>
      </c>
      <c r="C6" s="33">
        <v>-10.9</v>
      </c>
      <c r="D6" s="33">
        <v>-7.74</v>
      </c>
      <c r="E6" s="33">
        <v>-1.67</v>
      </c>
      <c r="F6" s="33">
        <v>6.83</v>
      </c>
      <c r="G6" s="33">
        <v>14.3</v>
      </c>
      <c r="H6" s="33">
        <v>19.100000000000001</v>
      </c>
      <c r="I6" s="33">
        <v>21.2</v>
      </c>
      <c r="J6" s="33">
        <v>20</v>
      </c>
      <c r="K6" s="33">
        <v>15</v>
      </c>
      <c r="L6" s="33">
        <v>7.56</v>
      </c>
      <c r="M6" s="33">
        <v>-1.75</v>
      </c>
      <c r="N6" s="33">
        <v>-8.52</v>
      </c>
      <c r="O6" s="33">
        <v>6.2</v>
      </c>
    </row>
    <row r="7" spans="2:15">
      <c r="B7" s="1" t="s">
        <v>15</v>
      </c>
      <c r="C7" s="33">
        <v>7.41</v>
      </c>
      <c r="D7" s="33">
        <v>7.32</v>
      </c>
      <c r="E7" s="33">
        <v>7.72</v>
      </c>
      <c r="F7" s="33">
        <v>8.51</v>
      </c>
      <c r="G7" s="33">
        <v>7.87</v>
      </c>
      <c r="H7" s="33">
        <v>7.15</v>
      </c>
      <c r="I7" s="33">
        <v>6.6</v>
      </c>
      <c r="J7" s="33">
        <v>6.82</v>
      </c>
      <c r="K7" s="33">
        <v>7.17</v>
      </c>
      <c r="L7" s="33">
        <v>7.39</v>
      </c>
      <c r="M7" s="33">
        <v>7.25</v>
      </c>
      <c r="N7" s="33">
        <v>7.1</v>
      </c>
      <c r="O7" s="33">
        <v>7.36</v>
      </c>
    </row>
    <row r="8" spans="2:15">
      <c r="B8" s="1" t="s">
        <v>16</v>
      </c>
      <c r="C8" s="33">
        <v>9.23</v>
      </c>
      <c r="D8" s="33">
        <v>10.4</v>
      </c>
      <c r="E8" s="33">
        <v>11.9</v>
      </c>
      <c r="F8" s="33">
        <v>13.4</v>
      </c>
      <c r="G8" s="33">
        <v>14.8</v>
      </c>
      <c r="H8" s="33">
        <v>15.5</v>
      </c>
      <c r="I8" s="33">
        <v>15.2</v>
      </c>
      <c r="J8" s="33">
        <v>14</v>
      </c>
      <c r="K8" s="33">
        <v>12.5</v>
      </c>
      <c r="L8" s="33">
        <v>11</v>
      </c>
      <c r="M8" s="33">
        <v>9.6300000000000008</v>
      </c>
      <c r="N8" s="33">
        <v>8.8800000000000008</v>
      </c>
      <c r="O8" s="26">
        <f t="shared" ref="O8" si="0">AVERAGE(C8:N8)</f>
        <v>12.203333333333333</v>
      </c>
    </row>
    <row r="11" spans="2:15" ht="16">
      <c r="B11" t="s">
        <v>17</v>
      </c>
      <c r="C11" t="s">
        <v>52</v>
      </c>
    </row>
    <row r="12" spans="2:15">
      <c r="B12" t="s">
        <v>19</v>
      </c>
      <c r="C12">
        <v>44.88</v>
      </c>
    </row>
    <row r="13" spans="2:15">
      <c r="B13" t="s">
        <v>20</v>
      </c>
      <c r="C13">
        <v>-97.11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29696400</v>
      </c>
      <c r="D15" s="110">
        <f>O5*365*3600*INPUTS!$E$40*INPUTS!$E$39/1000</f>
        <v>28211580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289465.95681990008</v>
      </c>
      <c r="D18" s="34">
        <f>INPUTS!$E$45*INPUTS!$E$38*INPUTS!$E$40*((INPUTS!$E$42*D5*30.417*(3600/1000))-(INPUTS!$E$43*(INPUTS!$E$44-D6)*(D8-2)*3600*30.417)/(10^6))</f>
        <v>438566.10315120005</v>
      </c>
      <c r="E18" s="34">
        <f>INPUTS!$E$45*INPUTS!$E$38*INPUTS!$E$40*((INPUTS!$E$42*E5*30.417*(3600/1000))-(INPUTS!$E$43*(INPUTS!$E$44-E6)*(E8-2)*3600*30.417)/(10^6))</f>
        <v>745416.47048309993</v>
      </c>
      <c r="F18" s="34">
        <f>INPUTS!$E$45*INPUTS!$E$38*INPUTS!$E$40*((INPUTS!$E$42*F5*30.417*(3600/1000))-(INPUTS!$E$43*(INPUTS!$E$44-F6)*(F8-2)*3600*30.417)/(10^6))</f>
        <v>1104402.3301566001</v>
      </c>
      <c r="G18" s="34">
        <f>INPUTS!$E$45*INPUTS!$E$38*INPUTS!$E$40*((INPUTS!$E$42*G5*30.417*(3600/1000))-(INPUTS!$E$43*(INPUTS!$E$44-G6)*(G8-2)*3600*30.417)/(10^6))</f>
        <v>1406363.3320320002</v>
      </c>
      <c r="H18" s="34">
        <f>INPUTS!$E$45*INPUTS!$E$38*INPUTS!$E$40*((INPUTS!$E$42*H5*30.417*(3600/1000))-(INPUTS!$E$43*(INPUTS!$E$44-H6)*(H8-2)*3600*30.417)/(10^6))</f>
        <v>1638547.2127350001</v>
      </c>
      <c r="I18" s="34">
        <f>INPUTS!$E$45*INPUTS!$E$38*INPUTS!$E$40*((INPUTS!$E$42*I5*30.417*(3600/1000))-(INPUTS!$E$43*(INPUTS!$E$44-I6)*(I8-2)*3600*30.417)/(10^6))</f>
        <v>1799286.4879919998</v>
      </c>
      <c r="J18" s="34">
        <f>INPUTS!$E$45*INPUTS!$E$38*INPUTS!$E$40*((INPUTS!$E$42*J5*30.417*(3600/1000))-(INPUTS!$E$43*(INPUTS!$E$44-J6)*(J8-2)*3600*30.417)/(10^6))</f>
        <v>1679901.7096800003</v>
      </c>
      <c r="K18" s="34">
        <f>INPUTS!$E$45*INPUTS!$E$38*INPUTS!$E$40*((INPUTS!$E$42*K5*30.417*(3600/1000))-(INPUTS!$E$43*(INPUTS!$E$44-K6)*(K8-2)*3600*30.417)/(10^6))</f>
        <v>1315361.2647599997</v>
      </c>
      <c r="L18" s="34">
        <f>INPUTS!$E$45*INPUTS!$E$38*INPUTS!$E$40*((INPUTS!$E$42*L5*30.417*(3600/1000))-(INPUTS!$E$43*(INPUTS!$E$44-L6)*(L8-2)*3600*30.417)/(10^6))</f>
        <v>910552.84855200024</v>
      </c>
      <c r="M18" s="34">
        <f>INPUTS!$E$45*INPUTS!$E$38*INPUTS!$E$40*((INPUTS!$E$42*M5*30.417*(3600/1000))-(INPUTS!$E$43*(INPUTS!$E$44-M6)*(M8-2)*3600*30.417)/(10^6))</f>
        <v>456778.71230174997</v>
      </c>
      <c r="N18" s="34">
        <f>INPUTS!$E$45*INPUTS!$E$38*INPUTS!$E$40*((INPUTS!$E$42*N5*30.417*(3600/1000))-(INPUTS!$E$43*(INPUTS!$E$44-N6)*(N8-2)*3600*30.417)/(10^6))</f>
        <v>237222.69887231992</v>
      </c>
      <c r="O18" s="23">
        <f>SUM(C18:N18)</f>
        <v>12021865.127535868</v>
      </c>
    </row>
    <row r="19" spans="2:15">
      <c r="B19" s="1" t="s">
        <v>33</v>
      </c>
      <c r="C19" s="34">
        <f>INPUTS!$E$33*(PI()*INPUTS!$E$29^2/4)*0.5*1.23*C7^3/1000</f>
        <v>644.70295851194203</v>
      </c>
      <c r="D19" s="34">
        <f>INPUTS!$E$33*(PI()*INPUTS!$E$29^2/4)*0.5*1.23*D7^3/1000</f>
        <v>621.49592068973595</v>
      </c>
      <c r="E19" s="34">
        <f>INPUTS!$E$33*(PI()*INPUTS!$E$29^2/4)*0.5*1.23*E7^3/1000</f>
        <v>729.04937207274645</v>
      </c>
      <c r="F19" s="34">
        <f>INPUTS!$E$33*(PI()*INPUTS!$E$29^2/4)*0.5*1.23*F7^3/1000</f>
        <v>976.54828013059296</v>
      </c>
      <c r="G19" s="34">
        <f>INPUTS!$E$33*(PI()*INPUTS!$E$29^2/4)*0.5*1.23*G7^3/1000</f>
        <v>772.37682841729259</v>
      </c>
      <c r="H19" s="34">
        <f>INPUTS!$E$33*(PI()*INPUTS!$E$29^2/4)*0.5*1.23*H7^3/1000</f>
        <v>579.19281356435908</v>
      </c>
      <c r="I19" s="34">
        <f>INPUTS!$E$33*(PI()*INPUTS!$E$29^2/4)*0.5*1.23*I7^3/1000</f>
        <v>455.55083379117548</v>
      </c>
      <c r="J19" s="34">
        <f>INPUTS!$E$33*(PI()*INPUTS!$E$29^2/4)*0.5*1.23*J7^3/1000</f>
        <v>502.64129220270036</v>
      </c>
      <c r="K19" s="34">
        <f>INPUTS!$E$33*(PI()*INPUTS!$E$29^2/4)*0.5*1.23*K7^3/1000</f>
        <v>584.066780925957</v>
      </c>
      <c r="L19" s="34">
        <f>INPUTS!$E$33*(PI()*INPUTS!$E$29^2/4)*0.5*1.23*L7^3/1000</f>
        <v>639.49676875415071</v>
      </c>
      <c r="M19" s="34">
        <f>INPUTS!$E$33*(PI()*INPUTS!$E$29^2/4)*0.5*1.23*M7^3/1000</f>
        <v>603.8360797483366</v>
      </c>
      <c r="N19" s="34">
        <f>INPUTS!$E$33*(PI()*INPUTS!$E$29^2/4)*0.5*1.23*N7^3/1000</f>
        <v>567.12668862534906</v>
      </c>
      <c r="O19" s="23">
        <f>SUM(C19:N19)</f>
        <v>7676.0846174343369</v>
      </c>
    </row>
    <row r="20" spans="2:15">
      <c r="B20" s="1" t="s">
        <v>31</v>
      </c>
      <c r="C20" s="34">
        <f>INPUTS!$E$34*C19*24*30.417</f>
        <v>470638.31733738579</v>
      </c>
      <c r="D20" s="34">
        <f>INPUTS!$E$34*D19*24*30.417</f>
        <v>453696.99407087278</v>
      </c>
      <c r="E20" s="34">
        <f>INPUTS!$E$34*E19*24*30.417</f>
        <v>532211.8740080815</v>
      </c>
      <c r="F20" s="34">
        <f>INPUTS!$E$34*F19*24*30.417</f>
        <v>712888.05688157398</v>
      </c>
      <c r="G20" s="34">
        <f>INPUTS!$E$34*G19*24*30.417</f>
        <v>563841.26375925099</v>
      </c>
      <c r="H20" s="34">
        <f>INPUTS!$E$34*H19*24*30.417</f>
        <v>422815.38744449068</v>
      </c>
      <c r="I20" s="34">
        <f>INPUTS!$E$34*I19*24*30.417</f>
        <v>332555.75307422841</v>
      </c>
      <c r="J20" s="34">
        <f>INPUTS!$E$34*J19*24*30.417</f>
        <v>366932.16443830892</v>
      </c>
      <c r="K20" s="34">
        <f>INPUTS!$E$34*K19*24*30.417</f>
        <v>426373.42261019599</v>
      </c>
      <c r="L20" s="34">
        <f>INPUTS!$E$34*L19*24*30.417</f>
        <v>466837.75716468005</v>
      </c>
      <c r="M20" s="34">
        <f>INPUTS!$E$34*M19*24*30.417</f>
        <v>440805.16890492378</v>
      </c>
      <c r="N20" s="34">
        <f>INPUTS!$E$34*N19*24*30.417</f>
        <v>414007.01971001382</v>
      </c>
      <c r="O20" s="23">
        <f>SUM(C20:N20)</f>
        <v>5603603.1794040063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topLeftCell="E1" workbookViewId="0">
      <selection activeCell="C20" sqref="C20:N20"/>
    </sheetView>
  </sheetViews>
  <sheetFormatPr baseColWidth="10" defaultRowHeight="15" x14ac:dyDescent="0"/>
  <cols>
    <col min="2" max="2" width="37" customWidth="1"/>
    <col min="3" max="3" width="13" customWidth="1"/>
    <col min="4" max="4" width="13.6640625" customWidth="1"/>
    <col min="15" max="15" width="15.1640625" customWidth="1"/>
  </cols>
  <sheetData>
    <row r="2" spans="2:15" ht="30">
      <c r="B2" s="77" t="s">
        <v>92</v>
      </c>
      <c r="C2">
        <v>50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25">
        <v>2.2400000000000002</v>
      </c>
      <c r="D5" s="25">
        <v>3.35</v>
      </c>
      <c r="E5" s="25">
        <v>4.25</v>
      </c>
      <c r="F5" s="25">
        <v>5.23</v>
      </c>
      <c r="G5" s="25">
        <v>5.76</v>
      </c>
      <c r="H5" s="25">
        <v>6.12</v>
      </c>
      <c r="I5" s="25">
        <v>6.41</v>
      </c>
      <c r="J5" s="25">
        <v>5.92</v>
      </c>
      <c r="K5" s="25">
        <v>4.93</v>
      </c>
      <c r="L5" s="25">
        <v>3.7</v>
      </c>
      <c r="M5" s="25">
        <v>2.59</v>
      </c>
      <c r="N5" s="25">
        <v>2.0299999999999998</v>
      </c>
      <c r="O5" s="25">
        <v>4.38</v>
      </c>
    </row>
    <row r="6" spans="2:15" ht="31">
      <c r="B6" s="1" t="s">
        <v>14</v>
      </c>
      <c r="C6" s="25">
        <v>-10.8</v>
      </c>
      <c r="D6" s="25">
        <v>-7.9</v>
      </c>
      <c r="E6" s="25">
        <v>-2.54</v>
      </c>
      <c r="F6" s="25">
        <v>5.49</v>
      </c>
      <c r="G6" s="25">
        <v>12.9</v>
      </c>
      <c r="H6" s="25">
        <v>17.7</v>
      </c>
      <c r="I6" s="25">
        <v>20.399999999999999</v>
      </c>
      <c r="J6" s="25">
        <v>19.3</v>
      </c>
      <c r="K6" s="25">
        <v>13.3</v>
      </c>
      <c r="L6" s="25">
        <v>5.84</v>
      </c>
      <c r="M6" s="25">
        <v>-3.19</v>
      </c>
      <c r="N6" s="25">
        <v>-8.86</v>
      </c>
      <c r="O6" s="25">
        <v>5.22</v>
      </c>
    </row>
    <row r="7" spans="2:15">
      <c r="B7" s="1" t="s">
        <v>15</v>
      </c>
      <c r="C7" s="25">
        <v>7.48</v>
      </c>
      <c r="D7" s="25">
        <v>7.32</v>
      </c>
      <c r="E7" s="25">
        <v>7.44</v>
      </c>
      <c r="F7" s="25">
        <v>8.2100000000000009</v>
      </c>
      <c r="G7" s="25">
        <v>7.96</v>
      </c>
      <c r="H7" s="25">
        <v>7.17</v>
      </c>
      <c r="I7" s="25">
        <v>6.66</v>
      </c>
      <c r="J7" s="25">
        <v>6.73</v>
      </c>
      <c r="K7" s="25">
        <v>7.21</v>
      </c>
      <c r="L7" s="25">
        <v>7.42</v>
      </c>
      <c r="M7" s="25">
        <v>6.95</v>
      </c>
      <c r="N7" s="25">
        <v>7.17</v>
      </c>
      <c r="O7" s="25">
        <v>7.31</v>
      </c>
    </row>
    <row r="8" spans="2:15">
      <c r="B8" s="1" t="s">
        <v>16</v>
      </c>
      <c r="C8" s="25">
        <v>9</v>
      </c>
      <c r="D8" s="25">
        <v>10.3</v>
      </c>
      <c r="E8" s="25">
        <v>11.9</v>
      </c>
      <c r="F8" s="25">
        <v>13.5</v>
      </c>
      <c r="G8" s="25">
        <v>15</v>
      </c>
      <c r="H8" s="25">
        <v>15.8</v>
      </c>
      <c r="I8" s="25">
        <v>15.4</v>
      </c>
      <c r="J8" s="25">
        <v>14.2</v>
      </c>
      <c r="K8" s="25">
        <v>12.6</v>
      </c>
      <c r="L8" s="25">
        <v>10.9</v>
      </c>
      <c r="M8" s="25">
        <v>9.43</v>
      </c>
      <c r="N8" s="25">
        <v>8.61</v>
      </c>
      <c r="O8" s="26">
        <f t="shared" ref="O8" si="0">AVERAGE(C8:N8)</f>
        <v>12.219999999999999</v>
      </c>
    </row>
    <row r="11" spans="2:15" ht="16">
      <c r="B11" t="s">
        <v>17</v>
      </c>
      <c r="C11" s="36" t="s">
        <v>53</v>
      </c>
    </row>
    <row r="12" spans="2:15">
      <c r="B12" t="s">
        <v>19</v>
      </c>
      <c r="C12">
        <v>46.88</v>
      </c>
    </row>
    <row r="13" spans="2:15">
      <c r="B13" t="s">
        <v>20</v>
      </c>
      <c r="C13">
        <v>-102.31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28776600</v>
      </c>
      <c r="D15" s="110">
        <f>O5*365*3600*INPUTS!$E$40*INPUTS!$E$39/1000</f>
        <v>27337770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83817.693540000109</v>
      </c>
      <c r="D18" s="34">
        <f>INPUTS!$E$45*INPUTS!$E$38*INPUTS!$E$40*((INPUTS!$E$42*D5*30.417*(3600/1000))-(INPUTS!$E$43*(INPUTS!$E$44-D6)*(D8-2)*3600*30.417)/(10^6))</f>
        <v>398976.65604899987</v>
      </c>
      <c r="E18" s="34">
        <f>INPUTS!$E$45*INPUTS!$E$38*INPUTS!$E$40*((INPUTS!$E$42*E5*30.417*(3600/1000))-(INPUTS!$E$43*(INPUTS!$E$44-E6)*(E8-2)*3600*30.417)/(10^6))</f>
        <v>683743.94375219988</v>
      </c>
      <c r="F18" s="34">
        <f>INPUTS!$E$45*INPUTS!$E$38*INPUTS!$E$40*((INPUTS!$E$42*F5*30.417*(3600/1000))-(INPUTS!$E$43*(INPUTS!$E$44-F6)*(F8-2)*3600*30.417)/(10^6))</f>
        <v>1103012.0207955004</v>
      </c>
      <c r="G18" s="34">
        <f>INPUTS!$E$45*INPUTS!$E$38*INPUTS!$E$40*((INPUTS!$E$42*G5*30.417*(3600/1000))-(INPUTS!$E$43*(INPUTS!$E$44-G6)*(G8-2)*3600*30.417)/(10^6))</f>
        <v>1406496.3759899999</v>
      </c>
      <c r="H18" s="34">
        <f>INPUTS!$E$45*INPUTS!$E$38*INPUTS!$E$40*((INPUTS!$E$42*H5*30.417*(3600/1000))-(INPUTS!$E$43*(INPUTS!$E$44-H6)*(H8-2)*3600*30.417)/(10^6))</f>
        <v>1641895.4856779997</v>
      </c>
      <c r="I18" s="34">
        <f>INPUTS!$E$45*INPUTS!$E$38*INPUTS!$E$40*((INPUTS!$E$42*I5*30.417*(3600/1000))-(INPUTS!$E$43*(INPUTS!$E$44-I6)*(I8-2)*3600*30.417)/(10^6))</f>
        <v>1840352.723028</v>
      </c>
      <c r="J18" s="34">
        <f>INPUTS!$E$45*INPUTS!$E$38*INPUTS!$E$40*((INPUTS!$E$42*J5*30.417*(3600/1000))-(INPUTS!$E$43*(INPUTS!$E$44-J6)*(J8-2)*3600*30.417)/(10^6))</f>
        <v>1675599.9550380001</v>
      </c>
      <c r="K18" s="34">
        <f>INPUTS!$E$45*INPUTS!$E$38*INPUTS!$E$40*((INPUTS!$E$42*K5*30.417*(3600/1000))-(INPUTS!$E$43*(INPUTS!$E$44-K6)*(K8-2)*3600*30.417)/(10^6))</f>
        <v>1239038.3808540001</v>
      </c>
      <c r="L18" s="34">
        <f>INPUTS!$E$45*INPUTS!$E$38*INPUTS!$E$40*((INPUTS!$E$42*L5*30.417*(3600/1000))-(INPUTS!$E$43*(INPUTS!$E$44-L6)*(L8-2)*3600*30.417)/(10^6))</f>
        <v>737232.04966680019</v>
      </c>
      <c r="M18" s="34">
        <f>INPUTS!$E$45*INPUTS!$E$38*INPUTS!$E$40*((INPUTS!$E$42*M5*30.417*(3600/1000))-(INPUTS!$E$43*(INPUTS!$E$44-M6)*(M8-2)*3600*30.417)/(10^6))</f>
        <v>289699.44896618999</v>
      </c>
      <c r="N18" s="34">
        <f>INPUTS!$E$45*INPUTS!$E$38*INPUTS!$E$40*((INPUTS!$E$42*N5*30.417*(3600/1000))-(INPUTS!$E$43*(INPUTS!$E$44-N6)*(N8-2)*3600*30.417)/(10^6))</f>
        <v>77354.861540219907</v>
      </c>
      <c r="O18" s="23">
        <f>SUM(C18:N18)</f>
        <v>11177219.594897909</v>
      </c>
    </row>
    <row r="19" spans="2:15">
      <c r="B19" s="1" t="s">
        <v>33</v>
      </c>
      <c r="C19" s="34">
        <f>INPUTS!$E$33*(PI()*INPUTS!$E$29^2/4)*0.5*1.23*C7^3/1000</f>
        <v>663.1470359751246</v>
      </c>
      <c r="D19" s="34">
        <f>INPUTS!$E$33*(PI()*INPUTS!$E$29^2/4)*0.5*1.23*D7^3/1000</f>
        <v>621.49592068973595</v>
      </c>
      <c r="E19" s="34">
        <f>INPUTS!$E$33*(PI()*INPUTS!$E$29^2/4)*0.5*1.23*E7^3/1000</f>
        <v>652.56510362604524</v>
      </c>
      <c r="F19" s="34">
        <f>INPUTS!$E$33*(PI()*INPUTS!$E$29^2/4)*0.5*1.23*F7^3/1000</f>
        <v>876.86858383524793</v>
      </c>
      <c r="G19" s="34">
        <f>INPUTS!$E$33*(PI()*INPUTS!$E$29^2/4)*0.5*1.23*G7^3/1000</f>
        <v>799.17932943181768</v>
      </c>
      <c r="H19" s="34">
        <f>INPUTS!$E$33*(PI()*INPUTS!$E$29^2/4)*0.5*1.23*H7^3/1000</f>
        <v>584.066780925957</v>
      </c>
      <c r="I19" s="34">
        <f>INPUTS!$E$33*(PI()*INPUTS!$E$29^2/4)*0.5*1.23*I7^3/1000</f>
        <v>468.08823618982649</v>
      </c>
      <c r="J19" s="34">
        <f>INPUTS!$E$33*(PI()*INPUTS!$E$29^2/4)*0.5*1.23*J7^3/1000</f>
        <v>483.00344895786668</v>
      </c>
      <c r="K19" s="34">
        <f>INPUTS!$E$33*(PI()*INPUTS!$E$29^2/4)*0.5*1.23*K7^3/1000</f>
        <v>593.89659234546741</v>
      </c>
      <c r="L19" s="34">
        <f>INPUTS!$E$33*(PI()*INPUTS!$E$29^2/4)*0.5*1.23*L7^3/1000</f>
        <v>647.31661597904076</v>
      </c>
      <c r="M19" s="34">
        <f>INPUTS!$E$33*(PI()*INPUTS!$E$29^2/4)*0.5*1.23*M7^3/1000</f>
        <v>531.93608550006911</v>
      </c>
      <c r="N19" s="34">
        <f>INPUTS!$E$33*(PI()*INPUTS!$E$29^2/4)*0.5*1.23*N7^3/1000</f>
        <v>584.066780925957</v>
      </c>
      <c r="O19" s="23">
        <f>SUM(C19:N19)</f>
        <v>7505.6305143821546</v>
      </c>
    </row>
    <row r="20" spans="2:15">
      <c r="B20" s="1" t="s">
        <v>31</v>
      </c>
      <c r="C20" s="34">
        <f>INPUTS!$E$34*C19*24*30.417</f>
        <v>484102.64143812878</v>
      </c>
      <c r="D20" s="34">
        <f>INPUTS!$E$34*D19*24*30.417</f>
        <v>453696.99407087278</v>
      </c>
      <c r="E20" s="34">
        <f>INPUTS!$E$34*E19*24*30.417</f>
        <v>476377.74616784207</v>
      </c>
      <c r="F20" s="34">
        <f>INPUTS!$E$34*F19*24*30.417</f>
        <v>640121.08114840172</v>
      </c>
      <c r="G20" s="34">
        <f>INPUTS!$E$34*G19*24*30.417</f>
        <v>583407.30391986237</v>
      </c>
      <c r="H20" s="34">
        <f>INPUTS!$E$34*H19*24*30.417</f>
        <v>426373.42261019599</v>
      </c>
      <c r="I20" s="34">
        <f>INPUTS!$E$34*I19*24*30.417</f>
        <v>341708.15712446283</v>
      </c>
      <c r="J20" s="34">
        <f>INPUTS!$E$34*J19*24*30.417</f>
        <v>352596.38176683441</v>
      </c>
      <c r="K20" s="34">
        <f>INPUTS!$E$34*K19*24*30.417</f>
        <v>433549.26358492998</v>
      </c>
      <c r="L20" s="34">
        <f>INPUTS!$E$34*L19*24*30.417</f>
        <v>472546.3081976276</v>
      </c>
      <c r="M20" s="34">
        <f>INPUTS!$E$34*M19*24*30.417</f>
        <v>388317.59790373448</v>
      </c>
      <c r="N20" s="34">
        <f>INPUTS!$E$34*N19*24*30.417</f>
        <v>426373.42261019599</v>
      </c>
      <c r="O20" s="23">
        <f>SUM(C20:N20)</f>
        <v>5479170.320543089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workbookViewId="0">
      <selection activeCell="B4" sqref="B4:O8"/>
    </sheetView>
  </sheetViews>
  <sheetFormatPr baseColWidth="10" defaultRowHeight="15" x14ac:dyDescent="0"/>
  <cols>
    <col min="2" max="2" width="44.33203125" customWidth="1"/>
    <col min="3" max="3" width="13.6640625" customWidth="1"/>
    <col min="4" max="4" width="14.1640625" customWidth="1"/>
    <col min="5" max="12" width="11.83203125" bestFit="1" customWidth="1"/>
    <col min="13" max="14" width="11" bestFit="1" customWidth="1"/>
    <col min="15" max="15" width="18.6640625" customWidth="1"/>
  </cols>
  <sheetData>
    <row r="2" spans="2:15" ht="30">
      <c r="B2" s="77" t="s">
        <v>92</v>
      </c>
      <c r="C2">
        <v>110</v>
      </c>
    </row>
    <row r="3" spans="2:15"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"/>
    </row>
    <row r="4" spans="2:15"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9</v>
      </c>
      <c r="M4" s="4" t="s">
        <v>10</v>
      </c>
      <c r="N4" s="4" t="s">
        <v>11</v>
      </c>
      <c r="O4" s="4" t="s">
        <v>12</v>
      </c>
    </row>
    <row r="5" spans="2:15">
      <c r="B5" s="1" t="s">
        <v>13</v>
      </c>
      <c r="C5" s="33">
        <v>2.84</v>
      </c>
      <c r="D5" s="33">
        <v>3.46</v>
      </c>
      <c r="E5" s="33">
        <v>4.21</v>
      </c>
      <c r="F5" s="33">
        <v>4.87</v>
      </c>
      <c r="G5" s="33">
        <v>5.4</v>
      </c>
      <c r="H5" s="33">
        <v>5.91</v>
      </c>
      <c r="I5" s="33">
        <v>6.03</v>
      </c>
      <c r="J5" s="33">
        <v>5.62</v>
      </c>
      <c r="K5" s="33">
        <v>4.97</v>
      </c>
      <c r="L5" s="33">
        <v>4.09</v>
      </c>
      <c r="M5" s="33">
        <v>2.95</v>
      </c>
      <c r="N5" s="33">
        <v>2.62</v>
      </c>
      <c r="O5" s="33">
        <v>4.42</v>
      </c>
    </row>
    <row r="6" spans="2:15" ht="31">
      <c r="B6" s="1" t="s">
        <v>14</v>
      </c>
      <c r="C6" s="33">
        <v>-8.35</v>
      </c>
      <c r="D6" s="33">
        <v>-5.23</v>
      </c>
      <c r="E6" s="33">
        <v>0.93</v>
      </c>
      <c r="F6" s="33">
        <v>8.94</v>
      </c>
      <c r="G6" s="33">
        <v>15.7</v>
      </c>
      <c r="H6" s="33">
        <v>20.5</v>
      </c>
      <c r="I6" s="33">
        <v>22.7</v>
      </c>
      <c r="J6" s="33">
        <v>21.7</v>
      </c>
      <c r="K6" s="33">
        <v>16.899999999999999</v>
      </c>
      <c r="L6" s="33">
        <v>9.91</v>
      </c>
      <c r="M6" s="33">
        <v>0.85</v>
      </c>
      <c r="N6" s="33">
        <v>-6.01</v>
      </c>
      <c r="O6" s="33">
        <v>8.3000000000000007</v>
      </c>
    </row>
    <row r="7" spans="2:15">
      <c r="B7" s="1" t="s">
        <v>15</v>
      </c>
      <c r="C7" s="25">
        <v>6.84</v>
      </c>
      <c r="D7" s="25">
        <v>6.78</v>
      </c>
      <c r="E7" s="25">
        <v>7.25</v>
      </c>
      <c r="F7" s="25">
        <v>8</v>
      </c>
      <c r="G7" s="25">
        <v>7.11</v>
      </c>
      <c r="H7" s="25">
        <v>6.4</v>
      </c>
      <c r="I7" s="25">
        <v>5.7</v>
      </c>
      <c r="J7" s="25">
        <v>5.68</v>
      </c>
      <c r="K7" s="25">
        <v>6.04</v>
      </c>
      <c r="L7" s="25">
        <v>6.38</v>
      </c>
      <c r="M7" s="25">
        <v>6.65</v>
      </c>
      <c r="N7" s="25">
        <v>6.54</v>
      </c>
      <c r="O7" s="25">
        <v>6.61</v>
      </c>
    </row>
    <row r="8" spans="2:15">
      <c r="B8" s="1" t="s">
        <v>16</v>
      </c>
      <c r="C8" s="25">
        <v>9.4600000000000009</v>
      </c>
      <c r="D8" s="25">
        <v>10.6</v>
      </c>
      <c r="E8" s="25">
        <v>11.9</v>
      </c>
      <c r="F8" s="25">
        <v>13.3</v>
      </c>
      <c r="G8" s="25">
        <v>14.5</v>
      </c>
      <c r="H8" s="25">
        <v>15.2</v>
      </c>
      <c r="I8" s="25">
        <v>14.9</v>
      </c>
      <c r="J8" s="25">
        <v>13.8</v>
      </c>
      <c r="K8" s="25">
        <v>12.5</v>
      </c>
      <c r="L8" s="25">
        <v>11.1</v>
      </c>
      <c r="M8" s="25">
        <v>9.85</v>
      </c>
      <c r="N8" s="25">
        <v>9.15</v>
      </c>
      <c r="O8" s="26">
        <f t="shared" ref="O8" si="0">AVERAGE(C8:N8)</f>
        <v>12.188333333333334</v>
      </c>
    </row>
    <row r="11" spans="2:15" ht="16">
      <c r="B11" t="s">
        <v>17</v>
      </c>
      <c r="C11" t="s">
        <v>54</v>
      </c>
    </row>
    <row r="12" spans="2:15">
      <c r="B12" t="s">
        <v>19</v>
      </c>
      <c r="C12">
        <v>42.32</v>
      </c>
    </row>
    <row r="13" spans="2:15">
      <c r="B13" t="s">
        <v>20</v>
      </c>
      <c r="C13">
        <v>-95.34</v>
      </c>
    </row>
    <row r="14" spans="2:15">
      <c r="B14" s="1"/>
      <c r="D14" s="31" t="s">
        <v>130</v>
      </c>
    </row>
    <row r="15" spans="2:15">
      <c r="B15" s="101" t="s">
        <v>118</v>
      </c>
      <c r="C15" s="34">
        <f>O5*365*3600*INPUTS!$E$40*INPUTS!$E$38/1000</f>
        <v>29039400</v>
      </c>
      <c r="D15" s="110">
        <f>O5*365*3600*INPUTS!$E$40*INPUTS!$E$39/1000</f>
        <v>27587430</v>
      </c>
    </row>
    <row r="16" spans="2:15">
      <c r="B16" s="1"/>
    </row>
    <row r="17" spans="2:15">
      <c r="B17" s="1"/>
      <c r="C17" s="4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4" t="s">
        <v>5</v>
      </c>
      <c r="I17" s="4" t="s">
        <v>6</v>
      </c>
      <c r="J17" s="4" t="s">
        <v>7</v>
      </c>
      <c r="K17" s="4" t="s">
        <v>8</v>
      </c>
      <c r="L17" s="4" t="s">
        <v>9</v>
      </c>
      <c r="M17" s="4" t="s">
        <v>10</v>
      </c>
      <c r="N17" s="4" t="s">
        <v>11</v>
      </c>
      <c r="O17" s="22" t="s">
        <v>30</v>
      </c>
    </row>
    <row r="18" spans="2:15" ht="17">
      <c r="B18" s="1" t="s">
        <v>32</v>
      </c>
      <c r="C18" s="34">
        <f>INPUTS!$E$45*INPUTS!$E$38*INPUTS!$E$40*((INPUTS!$E$42*C5*30.417*(3600/1000))-(INPUTS!$E$43*(INPUTS!$E$44-C6)*(C8-2)*3600*30.417)/(10^6))</f>
        <v>290499.2648936999</v>
      </c>
      <c r="D18" s="34">
        <f>INPUTS!$E$45*INPUTS!$E$38*INPUTS!$E$40*((INPUTS!$E$42*D5*30.417*(3600/1000))-(INPUTS!$E$43*(INPUTS!$E$44-D6)*(D8-2)*3600*30.417)/(10^6))</f>
        <v>460380.87746460008</v>
      </c>
      <c r="E18" s="34">
        <f>INPUTS!$E$45*INPUTS!$E$38*INPUTS!$E$40*((INPUTS!$E$42*E5*30.417*(3600/1000))-(INPUTS!$E$43*(INPUTS!$E$44-E6)*(E8-2)*3600*30.417)/(10^6))</f>
        <v>745726.90638509986</v>
      </c>
      <c r="F18" s="34">
        <f>INPUTS!$E$45*INPUTS!$E$38*INPUTS!$E$40*((INPUTS!$E$42*F5*30.417*(3600/1000))-(INPUTS!$E$43*(INPUTS!$E$44-F6)*(F8-2)*3600*30.417)/(10^6))</f>
        <v>1074822.2234945998</v>
      </c>
      <c r="G18" s="34">
        <f>INPUTS!$E$45*INPUTS!$E$38*INPUTS!$E$40*((INPUTS!$E$42*G5*30.417*(3600/1000))-(INPUTS!$E$43*(INPUTS!$E$44-G6)*(G8-2)*3600*30.417)/(10^6))</f>
        <v>1380885.414075</v>
      </c>
      <c r="H18" s="34">
        <f>INPUTS!$E$45*INPUTS!$E$38*INPUTS!$E$40*((INPUTS!$E$42*H5*30.417*(3600/1000))-(INPUTS!$E$43*(INPUTS!$E$44-H6)*(H8-2)*3600*30.417)/(10^6))</f>
        <v>1672362.5520600004</v>
      </c>
      <c r="I18" s="34">
        <f>INPUTS!$E$45*INPUTS!$E$38*INPUTS!$E$40*((INPUTS!$E$42*I5*30.417*(3600/1000))-(INPUTS!$E$43*(INPUTS!$E$44-I6)*(I8-2)*3600*30.417)/(10^6))</f>
        <v>1787512.0977089999</v>
      </c>
      <c r="J18" s="34">
        <f>INPUTS!$E$45*INPUTS!$E$38*INPUTS!$E$40*((INPUTS!$E$42*J5*30.417*(3600/1000))-(INPUTS!$E$43*(INPUTS!$E$44-J6)*(J8-2)*3600*30.417)/(10^6))</f>
        <v>1645886.8044180002</v>
      </c>
      <c r="K18" s="34">
        <f>INPUTS!$E$45*INPUTS!$E$38*INPUTS!$E$40*((INPUTS!$E$42*K5*30.417*(3600/1000))-(INPUTS!$E$43*(INPUTS!$E$44-K6)*(K8-2)*3600*30.417)/(10^6))</f>
        <v>1341859.186395</v>
      </c>
      <c r="L18" s="34">
        <f>INPUTS!$E$45*INPUTS!$E$38*INPUTS!$E$40*((INPUTS!$E$42*L5*30.417*(3600/1000))-(INPUTS!$E$43*(INPUTS!$E$44-L6)*(L8-2)*3600*30.417)/(10^6))</f>
        <v>944791.71114329994</v>
      </c>
      <c r="M18" s="34">
        <f>INPUTS!$E$45*INPUTS!$E$38*INPUTS!$E$40*((INPUTS!$E$42*M5*30.417*(3600/1000))-(INPUTS!$E$43*(INPUTS!$E$44-M6)*(M8-2)*3600*30.417)/(10^6))</f>
        <v>452177.6087542501</v>
      </c>
      <c r="N18" s="34">
        <f>INPUTS!$E$45*INPUTS!$E$38*INPUTS!$E$40*((INPUTS!$E$42*N5*30.417*(3600/1000))-(INPUTS!$E$43*(INPUTS!$E$44-N6)*(N8-2)*3600*30.417)/(10^6))</f>
        <v>279344.63771505002</v>
      </c>
      <c r="O18" s="23">
        <f>SUM(C18:N18)</f>
        <v>12076249.284507599</v>
      </c>
    </row>
    <row r="19" spans="2:15">
      <c r="B19" s="1" t="s">
        <v>33</v>
      </c>
      <c r="C19" s="34">
        <f>INPUTS!$E$33*(PI()*INPUTS!$E$29^2/4)*0.5*1.23*C7^3/1000</f>
        <v>507.07633696342083</v>
      </c>
      <c r="D19" s="34">
        <f>INPUTS!$E$33*(PI()*INPUTS!$E$29^2/4)*0.5*1.23*D7^3/1000</f>
        <v>493.84893420344537</v>
      </c>
      <c r="E19" s="34">
        <f>INPUTS!$E$33*(PI()*INPUTS!$E$29^2/4)*0.5*1.23*E7^3/1000</f>
        <v>603.8360797483366</v>
      </c>
      <c r="F19" s="34">
        <f>INPUTS!$E$33*(PI()*INPUTS!$E$29^2/4)*0.5*1.23*F7^3/1000</f>
        <v>811.28790279197563</v>
      </c>
      <c r="G19" s="34">
        <f>INPUTS!$E$33*(PI()*INPUTS!$E$29^2/4)*0.5*1.23*G7^3/1000</f>
        <v>569.52637524627346</v>
      </c>
      <c r="H19" s="34">
        <f>INPUTS!$E$33*(PI()*INPUTS!$E$29^2/4)*0.5*1.23*H7^3/1000</f>
        <v>415.37940622949162</v>
      </c>
      <c r="I19" s="34">
        <f>INPUTS!$E$33*(PI()*INPUTS!$E$29^2/4)*0.5*1.23*I7^3/1000</f>
        <v>293.446954261239</v>
      </c>
      <c r="J19" s="34">
        <f>INPUTS!$E$33*(PI()*INPUTS!$E$29^2/4)*0.5*1.23*J7^3/1000</f>
        <v>290.36886457617879</v>
      </c>
      <c r="K19" s="34">
        <f>INPUTS!$E$33*(PI()*INPUTS!$E$29^2/4)*0.5*1.23*K7^3/1000</f>
        <v>349.1530620256919</v>
      </c>
      <c r="L19" s="34">
        <f>INPUTS!$E$33*(PI()*INPUTS!$E$29^2/4)*0.5*1.23*L7^3/1000</f>
        <v>411.4973809382584</v>
      </c>
      <c r="M19" s="34">
        <f>INPUTS!$E$33*(PI()*INPUTS!$E$29^2/4)*0.5*1.23*M7^3/1000</f>
        <v>465.98289496113415</v>
      </c>
      <c r="N19" s="34">
        <f>INPUTS!$E$33*(PI()*INPUTS!$E$29^2/4)*0.5*1.23*N7^3/1000</f>
        <v>443.23932436795809</v>
      </c>
      <c r="O19" s="23">
        <f>SUM(C19:N19)</f>
        <v>5654.6435163134029</v>
      </c>
    </row>
    <row r="20" spans="2:15">
      <c r="B20" s="1" t="s">
        <v>31</v>
      </c>
      <c r="C20" s="34">
        <f>INPUTS!$E$34*C19*24*30.417</f>
        <v>370169.78259399295</v>
      </c>
      <c r="D20" s="34">
        <f>INPUTS!$E$34*D19*24*30.417</f>
        <v>360513.67275998875</v>
      </c>
      <c r="E20" s="34">
        <f>INPUTS!$E$34*E19*24*30.417</f>
        <v>440805.16890492378</v>
      </c>
      <c r="F20" s="34">
        <f>INPUTS!$E$34*F19*24*30.417</f>
        <v>592246.65934136452</v>
      </c>
      <c r="G20" s="34">
        <f>INPUTS!$E$34*G19*24*30.417</f>
        <v>415758.81014078163</v>
      </c>
      <c r="H20" s="34">
        <f>INPUTS!$E$34*H19*24*30.417</f>
        <v>303230.2895827787</v>
      </c>
      <c r="I20" s="34">
        <f>INPUTS!$E$34*I19*24*30.417</f>
        <v>214218.62418633859</v>
      </c>
      <c r="J20" s="34">
        <f>INPUTS!$E$34*J19*24*30.417</f>
        <v>211971.59409152713</v>
      </c>
      <c r="K20" s="34">
        <f>INPUTS!$E$34*K19*24*30.417</f>
        <v>254884.52850325129</v>
      </c>
      <c r="L20" s="34">
        <f>INPUTS!$E$34*L19*24*30.417</f>
        <v>300396.38006397616</v>
      </c>
      <c r="M20" s="34">
        <f>INPUTS!$E$34*M19*24*30.417</f>
        <v>340171.24118478765</v>
      </c>
      <c r="N20" s="34">
        <f>INPUTS!$E$34*N19*24*30.417</f>
        <v>323568.2527032044</v>
      </c>
      <c r="O20" s="23">
        <f>SUM(C20:N20)</f>
        <v>4127935.0040569152</v>
      </c>
    </row>
  </sheetData>
  <mergeCells count="1">
    <mergeCell ref="C3:N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INPUTS</vt:lpstr>
      <vt:lpstr>User Input Location</vt:lpstr>
      <vt:lpstr>Logansport, IN</vt:lpstr>
      <vt:lpstr>Gibson City, IL</vt:lpstr>
      <vt:lpstr>Cambria, WI</vt:lpstr>
      <vt:lpstr>Marshall, MN</vt:lpstr>
      <vt:lpstr>Watertown, SD</vt:lpstr>
      <vt:lpstr>Richardton, ND</vt:lpstr>
      <vt:lpstr>Arthur, IA</vt:lpstr>
      <vt:lpstr>St. Joseph, MO</vt:lpstr>
      <vt:lpstr>Sutherland, NE</vt:lpstr>
      <vt:lpstr>Torrington, WY</vt:lpstr>
      <vt:lpstr>Burley, ID</vt:lpstr>
      <vt:lpstr>Yuma, CO</vt:lpstr>
      <vt:lpstr>Russell, KS</vt:lpstr>
      <vt:lpstr>Arkalon, KS</vt:lpstr>
      <vt:lpstr>Plainview, TX</vt:lpstr>
      <vt:lpstr>Imperial Valley, CA</vt:lpstr>
      <vt:lpstr>Stockton, CA</vt:lpstr>
      <vt:lpstr>Maricopa, AZ</vt:lpstr>
      <vt:lpstr>Solar Cumulative Cost Savings</vt:lpstr>
      <vt:lpstr>Wind Cumulative Cost Savings</vt:lpstr>
    </vt:vector>
  </TitlesOfParts>
  <Company>University of Wisconsin-Milwaukee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Ehrke</dc:creator>
  <cp:lastModifiedBy>Elizabeth Ehrke</cp:lastModifiedBy>
  <dcterms:created xsi:type="dcterms:W3CDTF">2012-11-08T20:23:32Z</dcterms:created>
  <dcterms:modified xsi:type="dcterms:W3CDTF">2012-12-10T02:14:12Z</dcterms:modified>
</cp:coreProperties>
</file>